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5" rupBuild="14420"/>
  <workbookPr defaultThemeVersion="164011"/>
  <bookViews>
    <workbookView xWindow="0" yWindow="0" windowWidth="28800" windowHeight="11745" activeTab="3" tabRatio="815"/>
  </bookViews>
  <sheets>
    <sheet name="127-49 руб 7-11 лет  коррек" sheetId="1" r:id="rId1" state="hidden"/>
    <sheet name="139-29  руб 12-18 лет коррекц " sheetId="2" r:id="rId2" state="hidden"/>
    <sheet name="1 неделя" sheetId="3" r:id="rId3"/>
    <sheet name="2 неделя" sheetId="4" r:id="rId4"/>
  </sheets>
  <definedNames>
    <definedName name="_xlnm.Print_Area" localSheetId="0">'127-49 руб 7-11 лет  коррек'!$A$1:$N$159</definedName>
    <definedName name="_xlnm.Print_Area" localSheetId="1">'139-29  руб 12-18 лет коррекц '!$A$1:$N$161</definedName>
    <definedName name="_xlnm.Print_Area">#REF!</definedName>
    <definedName name="_xlnm.Print_Area">#REF!</definedName>
    <definedName name="_xlnm.Print_Area">#REF!</definedName>
  </definedNames>
  <calcPr calcId="162913" refMode="R1C1"/>
</workbook>
</file>

<file path=xl/sharedStrings.xml><?xml version="1.0" encoding="utf-8"?>
<sst xmlns="http://schemas.openxmlformats.org/spreadsheetml/2006/main" uniqueCount="308" count="308">
  <si>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</si>
  <si>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</si>
  <si>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</si>
  <si>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</si>
  <si>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</si>
  <si>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</si>
  <si>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</si>
  <si>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</si>
  <si>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</si>
  <si>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</si>
  <si>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</si>
  <si>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</si>
  <si>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</si>
  <si>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</si>
  <si>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</si>
  <si>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</si>
  <si>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</si>
  <si>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</si>
  <si>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</si>
  <si>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</si>
  <si>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</si>
  <si>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</si>
  <si>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</si>
  <si>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</si>
  <si>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</si>
  <si>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</si>
  <si>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</si>
  <si>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</si>
  <si>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</si>
  <si>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</si>
  <si>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</si>
  <si>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</si>
  <si>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</si>
  <si>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</si>
  <si>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</si>
  <si>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</si>
  <si>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</si>
  <si>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</si>
  <si>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</si>
  <si>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</si>
  <si>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</si>
  <si>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</si>
  <si>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</si>
  <si>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</si>
  <si>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</si>
  <si>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</si>
  <si>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</si>
  <si>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</si>
  <si>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</si>
  <si>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</si>
  <si>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</si>
  <si>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</si>
  <si>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</si>
  <si>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</si>
  <si>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</si>
  <si>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</si>
  <si>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</si>
  <si>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</si>
  <si>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</si>
  <si>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</si>
  <si>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</si>
  <si>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</si>
  <si>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</si>
  <si>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</si>
  <si>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</si>
  <si>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</si>
  <si>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</si>
  <si>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</si>
  <si>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</si>
  <si>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</si>
  <si>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</si>
  <si>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</si>
  <si>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</si>
  <si>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</si>
  <si>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</si>
  <si>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</si>
  <si>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</si>
  <si>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</si>
  <si>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</si>
  <si>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</si>
  <si>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</si>
  <si>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</si>
  <si>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</si>
  <si>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</si>
  <si>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</si>
  <si>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</si>
  <si>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</si>
  <si>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</si>
  <si>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</si>
  <si>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</si>
  <si>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</si>
  <si>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</si>
  <si>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</si>
  <si>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</si>
  <si>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</si>
  <si>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</si>
  <si>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</si>
  <si>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</si>
  <si>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</si>
  <si>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</si>
  <si>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</si>
  <si>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</si>
  <si>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</si>
  <si>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</si>
  <si>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</si>
  <si>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</si>
  <si>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</si>
  <si>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</si>
  <si>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</si>
  <si>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</si>
  <si>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</si>
  <si>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</si>
  <si>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</si>
  <si>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</si>
  <si>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</si>
  <si>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</si>
  <si>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</si>
  <si>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</si>
  <si>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</si>
  <si>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</si>
  <si>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</si>
  <si>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</si>
  <si>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</si>
  <si>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</si>
  <si>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</si>
  <si>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</si>
  <si>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</si>
  <si>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</si>
  <si>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</si>
  <si>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</si>
  <si>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</si>
  <si>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</si>
  <si>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</si>
  <si>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</si>
  <si>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</si>
  <si>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</si>
  <si>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</si>
  <si>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</si>
  <si>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</si>
  <si>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</si>
  <si>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</si>
  <si>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</si>
  <si>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</si>
  <si>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</si>
  <si>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</si>
  <si>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</si>
  <si>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</si>
  <si>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</si>
  <si>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</si>
  <si>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</si>
  <si>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</si>
  <si>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</si>
  <si>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</si>
  <si>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</si>
  <si>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</si>
  <si>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</si>
  <si>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</si>
  <si>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</si>
  <si>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</si>
  <si>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</si>
  <si>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</si>
  <si>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</si>
  <si>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</si>
  <si>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</si>
  <si>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</si>
  <si>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</si>
  <si>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</si>
  <si>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</si>
  <si>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</si>
  <si>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</si>
  <si>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</si>
  <si>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</si>
  <si>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</si>
  <si>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</si>
  <si>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</si>
  <si>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</si>
  <si>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</si>
  <si>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</si>
  <si>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</si>
  <si>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</si>
  <si>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</si>
  <si>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</si>
  <si>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</si>
  <si>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</si>
  <si>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</si>
  <si>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</si>
  <si>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</si>
  <si>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</si>
  <si>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</si>
  <si>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</si>
  <si>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</si>
  <si>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</si>
  <si>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</si>
  <si>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</si>
  <si>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</si>
  <si>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</si>
  <si>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</si>
  <si>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</si>
  <si>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</si>
  <si>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</si>
  <si>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</si>
  <si>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</si>
  <si>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</si>
  <si>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</si>
  <si>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</si>
  <si>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</si>
  <si>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</si>
  <si>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</si>
  <si>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</si>
  <si>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</si>
  <si>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</si>
  <si>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</si>
  <si>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</si>
  <si>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</si>
  <si>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</si>
  <si>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</si>
  <si>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</si>
  <si>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</si>
  <si>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>Категории:
- Отдельные категории обучающихся, осваивающих программы начального общего образования: обучающиеся с ограниченными возможностями здоровья и дети-инвалиды.</t>
  </si>
  <si>
    <t>288/17</t>
  </si>
  <si>
    <t>259/17</t>
  </si>
  <si>
    <t>Жаркое по-домашнему</t>
  </si>
  <si>
    <t xml:space="preserve">Птица отварная </t>
  </si>
  <si>
    <t>Каша гречневая вязкая</t>
  </si>
  <si>
    <t>303/17</t>
  </si>
  <si>
    <t>348/17</t>
  </si>
  <si>
    <t>210/17</t>
  </si>
  <si>
    <t>Омлет натуральный с маслом</t>
  </si>
  <si>
    <t>70/17</t>
  </si>
  <si>
    <t>Овощи солёные порционные (огурцы)</t>
  </si>
  <si>
    <t>Компот из кураги, витамин С</t>
  </si>
  <si>
    <t>Напиток из плодов шиповника, витамин С</t>
  </si>
  <si>
    <t>200</t>
  </si>
  <si>
    <t>388/17</t>
  </si>
  <si>
    <t>268/17</t>
  </si>
  <si>
    <t>Компот из смеси сухофруктов, витамин С</t>
  </si>
  <si>
    <t>Суп картофельный с рисовой крупой</t>
  </si>
  <si>
    <t>Суп картофельный с макаронными изделиями</t>
  </si>
  <si>
    <t>Кисель из концентрата плодового или ягодного, витамин С</t>
  </si>
  <si>
    <t>Свекольник</t>
  </si>
  <si>
    <t>Суп из овощей</t>
  </si>
  <si>
    <t>271/17</t>
  </si>
  <si>
    <t>88/17</t>
  </si>
  <si>
    <t>Щи из свежей капусты с картофелем</t>
  </si>
  <si>
    <t>Рассольник "Ленинградский"</t>
  </si>
  <si>
    <t>96/17</t>
  </si>
  <si>
    <t>421/17</t>
  </si>
  <si>
    <r>
      <t xml:space="preserve">Категории:
</t>
    </r>
    <r>
      <rPr>
        <b/>
        <charset val="204"/>
        <sz val="10"/>
        <rFont val="Times New Roman"/>
      </rPr>
      <t>Отдельные категории обучающихся, осваивающих программы основного общего, среднего общего образования</t>
    </r>
    <r>
      <rPr>
        <charset val="204"/>
        <sz val="10"/>
        <rFont val="Times New Roman"/>
      </rPr>
      <t xml:space="preserve">: 
- Обучающиеся с ограниченными возможностями здоровья и дети-инвалиды;
- Обучающиеся один из родителей которых является военнослужащим; 
- Обучающиеся один из родителей которых является военнослужащим, погибшим (умершим) в результате участия в спе-циальной военной операции;
- Обучающиеся один из родителей которых является иным участником специальной военной операции; - Обучающиеся один из родителей которых является иным участником специальной военной операции, погибшим (умершим) в результа-те участия в специальной военной операции.
</t>
    </r>
  </si>
  <si>
    <t>200/5</t>
  </si>
  <si>
    <t>50/150</t>
  </si>
  <si>
    <t>195/5</t>
  </si>
  <si>
    <t>250/5</t>
  </si>
  <si>
    <t>Шницель мясной</t>
  </si>
  <si>
    <t xml:space="preserve">Котлета домашняя </t>
  </si>
  <si>
    <t>200/15</t>
  </si>
  <si>
    <t>Батон нарезной</t>
  </si>
  <si>
    <t>Кондитерское изделие (вафли)</t>
  </si>
  <si>
    <t>ТТК 301</t>
  </si>
  <si>
    <t>Паста "Болоньезе"</t>
  </si>
  <si>
    <t xml:space="preserve">Фрукт </t>
  </si>
  <si>
    <t>160/5</t>
  </si>
  <si>
    <t>Плов из мяса птицы</t>
  </si>
  <si>
    <t>234/17</t>
  </si>
  <si>
    <t>Котлета рыбная</t>
  </si>
  <si>
    <t>242/05</t>
  </si>
  <si>
    <t>Напиток яблочно-лимонный</t>
  </si>
  <si>
    <t>204/17</t>
  </si>
  <si>
    <t>Макароны отварные с сыром</t>
  </si>
  <si>
    <t>200/10</t>
  </si>
  <si>
    <t>Кондитерское изделие (печенье)</t>
  </si>
  <si>
    <t>ТТК 116</t>
  </si>
  <si>
    <t>Запеканка из творога "Радуга" с молоком сгущённым</t>
  </si>
  <si>
    <t>150/10</t>
  </si>
  <si>
    <t>Капуста тушеная с мясом птицы</t>
  </si>
  <si>
    <t>Горошница</t>
  </si>
  <si>
    <t>54-27м/22</t>
  </si>
  <si>
    <t>Маринад овощной с томатом</t>
  </si>
  <si>
    <t>54-23з/22</t>
  </si>
  <si>
    <t>255/17</t>
  </si>
  <si>
    <t>Печень по-строгановски</t>
  </si>
  <si>
    <t>100/50</t>
  </si>
  <si>
    <t>250/15</t>
  </si>
  <si>
    <t>Напиток яблочно-лимонный, витамин С</t>
  </si>
  <si>
    <t>Кондитерское изделие (пряники)</t>
  </si>
  <si>
    <t>Компот из кураги</t>
  </si>
  <si>
    <t>250/10</t>
  </si>
  <si>
    <t>Каша молочная рисовая (жидкая) с маслом сливочным</t>
  </si>
  <si>
    <t>1 шт/130</t>
  </si>
  <si>
    <t>Меню для учащихся, получающих бюджетные средства на питание  в размере 160,08 руб. (завтрак, обед)</t>
  </si>
  <si>
    <t>1 неделя</t>
  </si>
  <si>
    <t>ДЕНЬ 1. ПОНЕДЕЛЬНИК ЭНЕРГЕТИЧЕСКАЯ И ПИЩЕВАЯ ЦЕННОСТЬ ЗА ДЕНЬ</t>
  </si>
  <si>
    <t>ДЕНЬ 2. ВТОРНИК ЭНЕРГЕТИЧЕСКАЯ И ПИЩЕВАЯ ЦЕННОСТЬ ЗА ДЕНЬ</t>
  </si>
  <si>
    <t>ДЕНЬ 3. СРЕДА ЭНЕРГЕТИЧЕСКАЯ И ПИЩЕВАЯ ЦЕННОСТЬ ЗА ДЕНЬ</t>
  </si>
  <si>
    <t>ДЕНЬ 4. ЧЕТВЕРГ ЭНЕРГЕТИЧЕСКАЯ И ПИЩЕВАЯ ЦЕННОСТЬ ЗА ДЕНЬ</t>
  </si>
  <si>
    <t>ДЕНЬ 5. ПЯТНИЦА ЭНЕРГЕТИЧЕСКАЯ И ПИЩЕВАЯ ЦЕННОСТЬ ЗА ДЕНЬ</t>
  </si>
  <si>
    <t>ДЕНЬ 1. ПОНЕДЕЛЬНИК. ЭНЕРГЕТИЧЕСКАЯ И ПИЩЕВАЯ ЦЕННОСТЬ ЗА ДЕНЬ</t>
  </si>
  <si>
    <t>ДЕНЬ 2. ВТОРНИК. ЭНЕРГЕТИЧЕСКАЯ И ПИЩЕВАЯ ЦЕННОСТЬ ЗА ДЕНЬ</t>
  </si>
  <si>
    <t>ДЕНЬ 3. СРЕДА. ЭНЕРГЕТИЧЕСКАЯ И ПИЩЕВАЯ ЦЕННОСТЬ ЗА ДЕНЬ</t>
  </si>
  <si>
    <t>ДЕНЬ 4. ЧЕТВЕРГ. ЭНЕРГЕТИЧЕСКАЯ И ПИЩЕВАЯ ЦЕННОСТЬ ЗА ДЕНЬ</t>
  </si>
  <si>
    <t>ДЕНЬ 5. ПЯТНИЦА. ЭНЕРГЕТИЧЕСКАЯ И ПИЩЕВАЯ ЦЕННОСТЬ ЗА ДЕНЬ</t>
  </si>
  <si>
    <t>2 НЕДЕЛЯ</t>
  </si>
  <si>
    <t>ДЕНЬ 1. ПОНЕДЕЛЬНИК.  ЭНЕРГЕТИЧЕСКАЯ И ПИЩЕВАЯ ЦЕННОСТЬ ЗА ДЕНЬ</t>
  </si>
  <si>
    <t>ДЕНЬ 3. СРЕДА.  ЭНЕРГЕТИЧЕСКАЯ И ПИЩЕВАЯ ЦЕННОСТЬ ЗА ДЕНЬ</t>
  </si>
  <si>
    <t>ДЕНЬ 4. ЧЕТВЕРГ.  ЭНЕРГЕТИЧЕСКАЯ И ПИЩЕВАЯ ЦЕННОСТЬ ЗА ДЕНЬ</t>
  </si>
  <si>
    <t>ДЕНЬ 5. ПЯТНИЦА.  ЭНЕРГЕТИЧЕСКАЯ И ПИЩЕВАЯ ЦЕННОСТЬ ЗА ДЕНЬ</t>
  </si>
  <si>
    <t>1 НЕДЕЛЯ</t>
  </si>
  <si>
    <t>ДЕНЬ 1.ПОНЕДЕЛЬНИК.  ЭНЕРГЕТИЧЕСКАЯ И ПИЩЕВАЯ ЦЕННОСТЬ ЗА ДЕНЬ</t>
  </si>
  <si>
    <t>ДЕНЬ . ПОНЕДЕЛЬНИК.  ЭНЕРГЕТИЧЕСКАЯ И ПИЩЕВАЯ ЦЕННОСТЬ ЗА ДЕНЬ</t>
  </si>
</sst>
</file>

<file path=xl/styles.xml><?xml version="1.0" encoding="utf-8"?>
<styleSheet xmlns="http://schemas.openxmlformats.org/spreadsheetml/2006/main">
  <numFmts count="4">
    <numFmt numFmtId="0" formatCode="General"/>
    <numFmt numFmtId="2" formatCode="0.00"/>
    <numFmt numFmtId="49" formatCode="@"/>
    <numFmt numFmtId="1" formatCode="0"/>
  </numFmts>
  <fonts count="19">
    <font>
      <name val="Arial"/>
      <sz val="10"/>
    </font>
    <font>
      <name val="Arial"/>
      <charset val="204"/>
      <sz val="10"/>
    </font>
    <font>
      <name val="Times New Roman"/>
      <b/>
      <charset val="204"/>
      <sz val="16"/>
    </font>
    <font>
      <name val="Arial"/>
      <i/>
      <charset val="204"/>
      <sz val="9"/>
    </font>
    <font>
      <name val="Arial"/>
      <i/>
      <charset val="204"/>
      <sz val="8"/>
    </font>
    <font>
      <name val="Arial"/>
      <charset val="204"/>
      <sz val="9"/>
    </font>
    <font>
      <name val="Arial"/>
      <charset val="204"/>
      <sz val="8"/>
    </font>
    <font>
      <name val="Arial"/>
      <b/>
      <charset val="204"/>
      <sz val="9"/>
    </font>
    <font>
      <name val="Arial"/>
      <b/>
      <charset val="204"/>
      <sz val="8"/>
    </font>
    <font>
      <name val="Arial"/>
      <charset val="204"/>
      <sz val="9"/>
    </font>
    <font>
      <name val="Arial"/>
      <charset val="204"/>
      <sz val="9"/>
    </font>
    <font>
      <name val="Arial"/>
      <charset val="204"/>
      <sz val="10"/>
    </font>
    <font>
      <name val="Arial"/>
      <sz val="10"/>
    </font>
    <font>
      <name val="Arial"/>
      <b/>
      <charset val="204"/>
      <sz val="10"/>
    </font>
    <font>
      <name val="Arial"/>
      <b/>
      <charset val="204"/>
      <sz val="9"/>
    </font>
    <font>
      <name val="Arial"/>
      <b/>
      <sz val="14"/>
    </font>
    <font>
      <name val="Times New Roman"/>
      <b/>
      <charset val="204"/>
      <sz val="10"/>
    </font>
    <font>
      <name val="Times New Roman"/>
      <charset val="204"/>
      <sz val="10"/>
      <color rgb="FF000000"/>
    </font>
    <font>
      <name val="Times New Roman"/>
      <charset val="204"/>
      <sz val="10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bottom"/>
      <protection locked="0" hidden="0"/>
    </xf>
  </cellStyleXfs>
  <cellXfs count="228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right" vertical="top"/>
    </xf>
    <xf numFmtId="0" fontId="1" fillId="2" borderId="0" xfId="0" applyNumberFormat="1" applyFont="1" applyFill="1" applyBorder="1" applyAlignment="1">
      <alignment vertical="top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left" vertical="center" indent="1"/>
    </xf>
    <xf numFmtId="0" fontId="3" fillId="2" borderId="3" xfId="0" applyNumberFormat="1" applyFont="1" applyFill="1" applyBorder="1" applyAlignment="1">
      <alignment horizontal="left" vertical="center" indent="1"/>
    </xf>
    <xf numFmtId="0" fontId="3" fillId="2" borderId="4" xfId="0" applyNumberFormat="1" applyFont="1" applyFill="1" applyBorder="1" applyAlignment="1">
      <alignment horizontal="left" vertical="center" indent="1"/>
    </xf>
    <xf numFmtId="0" fontId="3" fillId="2" borderId="5" xfId="0" applyNumberFormat="1" applyFont="1" applyFill="1" applyBorder="1" applyAlignment="1">
      <alignment horizontal="left" vertical="center" indent="1"/>
    </xf>
    <xf numFmtId="0" fontId="3" fillId="2" borderId="2" xfId="0" applyNumberFormat="1" applyFont="1" applyFill="1" applyBorder="1" applyAlignment="1">
      <alignment horizontal="left" vertical="bottom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right" vertical="center"/>
    </xf>
    <xf numFmtId="0" fontId="3" fillId="2" borderId="4" xfId="0" applyNumberFormat="1" applyFont="1" applyFill="1" applyBorder="1" applyAlignment="1">
      <alignment horizontal="right" vertical="center"/>
    </xf>
    <xf numFmtId="0" fontId="3" fillId="2" borderId="5" xfId="0" applyNumberFormat="1" applyFont="1" applyFill="1" applyBorder="1" applyAlignment="1">
      <alignment horizontal="right" vertical="center"/>
    </xf>
    <xf numFmtId="0" fontId="3" fillId="2" borderId="6" xfId="0" applyNumberFormat="1" applyFont="1" applyFill="1" applyBorder="1" applyAlignment="1">
      <alignment horizontal="right" vertical="top"/>
    </xf>
    <xf numFmtId="0" fontId="3" fillId="2" borderId="6" xfId="0" applyNumberFormat="1" applyFont="1" applyFill="1" applyBorder="1" applyAlignment="1">
      <alignment horizontal="left" vertical="top" indent="6"/>
    </xf>
    <xf numFmtId="0" fontId="3" fillId="2" borderId="6" xfId="0" applyNumberFormat="1" applyFont="1" applyFill="1" applyBorder="1" applyAlignment="1">
      <alignment horizontal="center" vertical="top"/>
    </xf>
    <xf numFmtId="0" fontId="3" fillId="2" borderId="7" xfId="0" applyNumberFormat="1" applyFont="1" applyFill="1" applyBorder="1" applyAlignment="1">
      <alignment horizontal="center" vertical="top"/>
    </xf>
    <xf numFmtId="0" fontId="5" fillId="2" borderId="7" xfId="0" applyNumberFormat="1" applyFont="1" applyFill="1" applyBorder="1" applyAlignment="1">
      <alignment horizontal="center" vertical="top"/>
    </xf>
    <xf numFmtId="0" fontId="3" fillId="2" borderId="6" xfId="0" applyNumberFormat="1" applyFont="1" applyFill="1" applyBorder="1" applyAlignment="1">
      <alignment horizontal="left" vertical="bottom" wrapText="1"/>
    </xf>
    <xf numFmtId="0" fontId="4" fillId="2" borderId="7" xfId="0" applyNumberFormat="1" applyFont="1" applyFill="1" applyBorder="1" applyAlignment="1">
      <alignment horizontal="center" vertical="top"/>
    </xf>
    <xf numFmtId="0" fontId="6" fillId="2" borderId="7" xfId="0" applyNumberFormat="1" applyFont="1" applyFill="1" applyBorder="1" applyAlignment="1">
      <alignment horizontal="center" vertical="top"/>
    </xf>
    <xf numFmtId="0" fontId="4" fillId="2" borderId="7" xfId="0" applyNumberFormat="1" applyFont="1" applyFill="1" applyBorder="1" applyAlignment="1">
      <alignment horizontal="center" vertical="top" wrapText="1"/>
    </xf>
    <xf numFmtId="0" fontId="7" fillId="2" borderId="7" xfId="0" applyNumberFormat="1" applyFont="1" applyFill="1" applyBorder="1" applyAlignment="1">
      <alignment horizontal="right" vertical="bottom"/>
    </xf>
    <xf numFmtId="0" fontId="3" fillId="2" borderId="7" xfId="0" applyNumberFormat="1" applyFont="1" applyFill="1" applyBorder="1" applyAlignment="1">
      <alignment horizontal="center" vertical="bottom"/>
    </xf>
    <xf numFmtId="0" fontId="5" fillId="2" borderId="7" xfId="0" applyNumberFormat="1" applyFont="1" applyFill="1" applyBorder="1" applyAlignment="1">
      <alignment horizontal="center" vertical="bottom"/>
    </xf>
    <xf numFmtId="0" fontId="6" fillId="2" borderId="7" xfId="0" applyNumberFormat="1" applyFont="1" applyFill="1" applyBorder="1" applyAlignment="1">
      <alignment horizontal="center" vertical="bottom"/>
    </xf>
    <xf numFmtId="0" fontId="8" fillId="2" borderId="3" xfId="0" applyNumberFormat="1" applyFont="1" applyFill="1" applyBorder="1" applyAlignment="1">
      <alignment horizontal="right" vertical="center" indent="1"/>
    </xf>
    <xf numFmtId="0" fontId="8" fillId="2" borderId="4" xfId="0" applyNumberFormat="1" applyFont="1" applyFill="1" applyBorder="1" applyAlignment="1">
      <alignment horizontal="left" vertical="center"/>
    </xf>
    <xf numFmtId="0" fontId="8" fillId="2" borderId="5" xfId="0" applyNumberFormat="1" applyFont="1" applyFill="1" applyBorder="1" applyAlignment="1">
      <alignment horizontal="left" vertical="center"/>
    </xf>
    <xf numFmtId="2" fontId="7" fillId="2" borderId="7" xfId="0" applyNumberFormat="1" applyFont="1" applyFill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right" vertical="center"/>
    </xf>
    <xf numFmtId="0" fontId="8" fillId="2" borderId="7" xfId="0" applyNumberFormat="1" applyFont="1" applyFill="1" applyBorder="1" applyAlignment="1">
      <alignment horizontal="right" vertical="center" indent="1"/>
    </xf>
    <xf numFmtId="0" fontId="8" fillId="2" borderId="3" xfId="0" applyNumberFormat="1" applyFont="1" applyFill="1" applyBorder="1" applyAlignment="1">
      <alignment horizontal="left" vertical="center"/>
    </xf>
    <xf numFmtId="0" fontId="1" fillId="2" borderId="7" xfId="0" applyNumberFormat="1" applyFont="1" applyFill="1" applyBorder="1" applyAlignment="1">
      <alignment horizontal="right" vertical="top" indent="1"/>
    </xf>
    <xf numFmtId="0" fontId="9" fillId="2" borderId="7" xfId="0" applyNumberFormat="1" applyFont="1" applyFill="1" applyBorder="1" applyAlignment="1">
      <alignment horizontal="left" vertical="center" wrapText="1"/>
    </xf>
    <xf numFmtId="0" fontId="9" fillId="2" borderId="7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right" vertical="center"/>
    </xf>
    <xf numFmtId="0" fontId="5" fillId="2" borderId="7" xfId="0" applyNumberFormat="1" applyFont="1" applyFill="1" applyBorder="1" applyAlignment="1">
      <alignment horizontal="left" vertical="center" wrapText="1"/>
    </xf>
    <xf numFmtId="0" fontId="1" fillId="2" borderId="7" xfId="0" applyNumberFormat="1" applyFont="1" applyFill="1" applyBorder="1" applyAlignment="1">
      <alignment horizontal="right" vertical="top"/>
    </xf>
    <xf numFmtId="0" fontId="5" fillId="2" borderId="7" xfId="0" applyNumberFormat="1" applyFont="1" applyFill="1" applyBorder="1" applyAlignment="1">
      <alignment horizontal="left" vertical="bottom" wrapText="1"/>
    </xf>
    <xf numFmtId="2" fontId="5" fillId="2" borderId="7" xfId="0" applyNumberFormat="1" applyFont="1" applyFill="1" applyBorder="1" applyAlignment="1">
      <alignment horizontal="center" vertical="bottom"/>
    </xf>
    <xf numFmtId="0" fontId="5" fillId="2" borderId="7" xfId="0" applyNumberFormat="1" applyFont="1" applyFill="1" applyBorder="1" applyAlignment="1">
      <alignment horizontal="left" vertical="center"/>
    </xf>
    <xf numFmtId="0" fontId="5" fillId="2" borderId="7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top"/>
    </xf>
    <xf numFmtId="2" fontId="6" fillId="2" borderId="7" xfId="0" applyNumberFormat="1" applyFont="1" applyFill="1" applyBorder="1" applyAlignment="1">
      <alignment horizontal="center" vertical="bottom"/>
    </xf>
    <xf numFmtId="0" fontId="11" fillId="2" borderId="7" xfId="0" applyNumberFormat="1" applyFont="1" applyFill="1" applyBorder="1" applyAlignment="1">
      <alignment horizontal="right" vertical="top" indent="1"/>
    </xf>
    <xf numFmtId="2" fontId="9" fillId="2" borderId="7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right" vertical="top" indent="1"/>
    </xf>
    <xf numFmtId="49" fontId="5" fillId="2" borderId="7" xfId="0" applyNumberFormat="1" applyFont="1" applyFill="1" applyBorder="1" applyAlignment="1">
      <alignment horizontal="center" vertical="bottom"/>
    </xf>
    <xf numFmtId="0" fontId="12" fillId="2" borderId="7" xfId="0" applyFill="1" applyBorder="1" applyAlignment="1">
      <alignment horizontal="right" vertical="top"/>
    </xf>
    <xf numFmtId="0" fontId="5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bottom"/>
    </xf>
    <xf numFmtId="2" fontId="12" fillId="2" borderId="7" xfId="0" applyNumberFormat="1" applyFill="1" applyBorder="1" applyAlignment="1">
      <alignment horizontal="center" vertical="center"/>
    </xf>
    <xf numFmtId="2" fontId="12" fillId="2" borderId="7" xfId="0" applyNumberForma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bottom"/>
    </xf>
    <xf numFmtId="0" fontId="6" fillId="2" borderId="7" xfId="0" applyFont="1" applyFill="1" applyBorder="1" applyAlignment="1">
      <alignment horizontal="center" vertical="top"/>
    </xf>
    <xf numFmtId="0" fontId="13" fillId="2" borderId="7" xfId="0" applyFont="1" applyFill="1" applyBorder="1" applyAlignment="1">
      <alignment horizontal="center" vertical="bottom"/>
    </xf>
    <xf numFmtId="0" fontId="12" fillId="2" borderId="3" xfId="0" applyFill="1" applyBorder="1" applyAlignment="1">
      <alignment horizontal="right" vertical="top"/>
    </xf>
    <xf numFmtId="0" fontId="8" fillId="2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2" fontId="13" fillId="2" borderId="7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right" vertical="center"/>
    </xf>
    <xf numFmtId="0" fontId="5" fillId="2" borderId="5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right" vertical="bottom"/>
    </xf>
    <xf numFmtId="0" fontId="1" fillId="2" borderId="7" xfId="0" applyFont="1" applyFill="1" applyBorder="1" applyAlignment="1">
      <alignment horizontal="right" vertical="bottom"/>
    </xf>
    <xf numFmtId="0" fontId="1" fillId="2" borderId="7" xfId="0" applyNumberFormat="1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right" vertical="center"/>
    </xf>
    <xf numFmtId="0" fontId="1" fillId="2" borderId="7" xfId="0" applyNumberFormat="1" applyFont="1" applyFill="1" applyBorder="1">
      <alignment vertical="center"/>
    </xf>
    <xf numFmtId="0" fontId="5" fillId="2" borderId="7" xfId="0" applyNumberFormat="1" applyFont="1" applyFill="1" applyBorder="1" applyAlignment="1">
      <alignment vertical="center" wrapText="1"/>
    </xf>
    <xf numFmtId="2" fontId="5" fillId="2" borderId="7" xfId="0" applyNumberFormat="1" applyFont="1" applyFill="1" applyBorder="1">
      <alignment vertical="center"/>
    </xf>
    <xf numFmtId="2" fontId="10" fillId="2" borderId="0" xfId="0" applyNumberFormat="1" applyFont="1" applyFill="1" applyBorder="1" applyAlignment="1">
      <alignment horizontal="right" vertical="center"/>
    </xf>
    <xf numFmtId="0" fontId="12" fillId="2" borderId="7" xfId="0" applyFill="1" applyBorder="1" applyAlignment="1">
      <alignment horizontal="right" vertical="bottom"/>
    </xf>
    <xf numFmtId="0" fontId="5" fillId="2" borderId="7" xfId="0" applyNumberFormat="1" applyFont="1" applyFill="1" applyBorder="1" applyAlignment="1">
      <alignment horizontal="right" vertical="center" indent="1"/>
    </xf>
    <xf numFmtId="2" fontId="6" fillId="2" borderId="7" xfId="0" applyNumberFormat="1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top"/>
    </xf>
    <xf numFmtId="0" fontId="14" fillId="2" borderId="7" xfId="0" applyNumberFormat="1" applyFont="1" applyFill="1" applyBorder="1" applyAlignment="1">
      <alignment horizontal="center" vertical="bottom" wrapText="1"/>
    </xf>
    <xf numFmtId="0" fontId="1" fillId="2" borderId="3" xfId="0" applyNumberFormat="1" applyFont="1" applyFill="1" applyBorder="1" applyAlignment="1">
      <alignment horizontal="right" vertical="top"/>
    </xf>
    <xf numFmtId="2" fontId="14" fillId="2" borderId="7" xfId="0" applyNumberFormat="1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right" vertical="center"/>
    </xf>
    <xf numFmtId="0" fontId="5" fillId="2" borderId="7" xfId="0" applyNumberFormat="1" applyFont="1" applyFill="1" applyBorder="1" applyAlignment="1">
      <alignment vertical="bottom" wrapText="1"/>
    </xf>
    <xf numFmtId="2" fontId="1" fillId="2" borderId="0" xfId="0" applyNumberFormat="1" applyFont="1" applyFill="1" applyBorder="1" applyAlignment="1">
      <alignment horizontal="center" vertical="top"/>
    </xf>
    <xf numFmtId="0" fontId="1" fillId="2" borderId="5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5" fillId="2" borderId="7" xfId="0" applyNumberFormat="1" applyFont="1" applyFill="1" applyBorder="1" applyAlignment="1">
      <alignment horizontal="center" vertical="bottom" wrapText="1"/>
    </xf>
    <xf numFmtId="0" fontId="12" fillId="2" borderId="2" xfId="0" applyFill="1" applyBorder="1" applyAlignment="1">
      <alignment horizontal="right" vertical="top"/>
    </xf>
    <xf numFmtId="0" fontId="5" fillId="2" borderId="2" xfId="0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horizontal="right" vertical="top"/>
    </xf>
    <xf numFmtId="0" fontId="10" fillId="2" borderId="2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left" vertical="center" wrapText="1"/>
    </xf>
    <xf numFmtId="0" fontId="14" fillId="2" borderId="7" xfId="0" applyNumberFormat="1" applyFont="1" applyFill="1" applyBorder="1" applyAlignment="1">
      <alignment horizontal="center" vertical="bottom"/>
    </xf>
    <xf numFmtId="0" fontId="5" fillId="2" borderId="7" xfId="0" applyNumberFormat="1" applyFont="1" applyFill="1" applyBorder="1" applyAlignment="1">
      <alignment horizontal="right" vertical="bottom"/>
    </xf>
    <xf numFmtId="0" fontId="5" fillId="2" borderId="7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top"/>
    </xf>
    <xf numFmtId="0" fontId="5" fillId="2" borderId="3" xfId="0" applyNumberFormat="1" applyFont="1" applyFill="1" applyBorder="1" applyAlignment="1">
      <alignment horizontal="left" vertical="center"/>
    </xf>
    <xf numFmtId="0" fontId="14" fillId="2" borderId="5" xfId="0" applyNumberFormat="1" applyFont="1" applyFill="1" applyBorder="1" applyAlignment="1">
      <alignment horizontal="center" vertical="bottom"/>
    </xf>
    <xf numFmtId="0" fontId="1" fillId="2" borderId="7" xfId="0" applyFont="1" applyFill="1" applyBorder="1" applyAlignment="1">
      <alignment horizontal="center" vertical="top"/>
    </xf>
    <xf numFmtId="49" fontId="1" fillId="2" borderId="7" xfId="0" applyNumberFormat="1" applyFont="1" applyFill="1" applyBorder="1" applyAlignment="1">
      <alignment horizontal="right" vertical="bottom"/>
    </xf>
    <xf numFmtId="2" fontId="5" fillId="2" borderId="7" xfId="0" applyNumberFormat="1" applyFont="1" applyFill="1" applyBorder="1" applyAlignment="1">
      <alignment horizontal="center" vertical="top"/>
    </xf>
    <xf numFmtId="0" fontId="12" fillId="2" borderId="7" xfId="0" applyFill="1" applyBorder="1" applyAlignment="1">
      <alignment horizontal="right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top" wrapText="1"/>
    </xf>
    <xf numFmtId="0" fontId="5" fillId="2" borderId="7" xfId="0" applyNumberFormat="1" applyFont="1" applyFill="1" applyBorder="1" applyAlignment="1">
      <alignment horizontal="left" vertical="top" wrapText="1"/>
    </xf>
    <xf numFmtId="49" fontId="1" fillId="2" borderId="7" xfId="0" applyNumberFormat="1" applyFont="1" applyFill="1" applyBorder="1" applyAlignment="1">
      <alignment horizontal="right" vertical="top"/>
    </xf>
    <xf numFmtId="0" fontId="5" fillId="2" borderId="7" xfId="0" applyFont="1" applyFill="1" applyBorder="1" applyAlignment="1">
      <alignment horizontal="left" vertical="center" wrapText="1"/>
    </xf>
    <xf numFmtId="0" fontId="14" fillId="2" borderId="7" xfId="0" applyNumberFormat="1" applyFont="1" applyFill="1" applyBorder="1" applyAlignment="1">
      <alignment horizontal="center" vertical="center"/>
    </xf>
    <xf numFmtId="0" fontId="12" fillId="2" borderId="7" xfId="0" applyFill="1" applyBorder="1" applyAlignment="1">
      <alignment horizontal="right" vertical="center"/>
    </xf>
    <xf numFmtId="2" fontId="1" fillId="2" borderId="7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0" fontId="5" fillId="2" borderId="5" xfId="0" applyNumberFormat="1" applyFont="1" applyFill="1" applyBorder="1" applyAlignment="1">
      <alignment horizontal="left" vertical="center"/>
    </xf>
    <xf numFmtId="0" fontId="8" fillId="2" borderId="7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/>
    </xf>
    <xf numFmtId="2" fontId="14" fillId="2" borderId="2" xfId="0" applyNumberFormat="1" applyFont="1" applyFill="1" applyBorder="1" applyAlignment="1">
      <alignment horizontal="center" vertical="center"/>
    </xf>
    <xf numFmtId="2" fontId="14" fillId="2" borderId="2" xfId="0" applyNumberFormat="1" applyFont="1" applyFill="1" applyBorder="1" applyAlignment="1">
      <alignment horizontal="right" vertical="center"/>
    </xf>
    <xf numFmtId="2" fontId="1" fillId="2" borderId="0" xfId="0" applyNumberFormat="1" applyFont="1" applyFill="1" applyBorder="1" applyAlignment="1">
      <alignment vertical="top"/>
    </xf>
    <xf numFmtId="0" fontId="1" fillId="2" borderId="2" xfId="0" applyNumberFormat="1" applyFont="1" applyFill="1" applyBorder="1" applyAlignment="1">
      <alignment horizontal="right" vertical="top"/>
    </xf>
    <xf numFmtId="0" fontId="10" fillId="2" borderId="2" xfId="0" applyNumberFormat="1" applyFont="1" applyFill="1" applyBorder="1" applyAlignment="1">
      <alignment horizontal="left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bottom"/>
    </xf>
    <xf numFmtId="2" fontId="5" fillId="2" borderId="0" xfId="0" applyNumberFormat="1" applyFont="1" applyFill="1" applyBorder="1" applyAlignment="1">
      <alignment horizontal="center" vertical="bottom"/>
    </xf>
    <xf numFmtId="0" fontId="5" fillId="2" borderId="0" xfId="0" applyNumberFormat="1" applyFont="1" applyFill="1" applyBorder="1" applyAlignment="1">
      <alignment horizontal="right" vertical="bottom" wrapText="1"/>
    </xf>
    <xf numFmtId="2" fontId="13" fillId="2" borderId="7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>
      <alignment horizontal="center" vertical="center"/>
    </xf>
    <xf numFmtId="0" fontId="12" fillId="2" borderId="0" xfId="0" applyFill="1" applyBorder="1" applyAlignment="1">
      <alignment horizontal="right" vertical="top"/>
    </xf>
    <xf numFmtId="0" fontId="5" fillId="2" borderId="0" xfId="0" applyNumberFormat="1" applyFont="1" applyFill="1" applyBorder="1" applyAlignment="1">
      <alignment horizontal="left" vertical="top" wrapText="1"/>
    </xf>
    <xf numFmtId="0" fontId="5" fillId="2" borderId="0" xfId="0" applyNumberFormat="1" applyFont="1" applyFill="1" applyBorder="1" applyAlignment="1">
      <alignment horizontal="center" vertical="top"/>
    </xf>
    <xf numFmtId="2" fontId="5" fillId="2" borderId="0" xfId="0" applyNumberFormat="1" applyFont="1" applyFill="1" applyBorder="1" applyAlignment="1">
      <alignment horizontal="center" vertical="top"/>
    </xf>
    <xf numFmtId="0" fontId="12" fillId="2" borderId="0" xfId="0" applyFill="1" applyBorder="1" applyAlignment="1">
      <alignment horizontal="right" vertical="bottom"/>
    </xf>
    <xf numFmtId="0" fontId="5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center" vertical="top"/>
    </xf>
    <xf numFmtId="0" fontId="8" fillId="2" borderId="8" xfId="0" applyNumberFormat="1" applyFont="1" applyFill="1" applyBorder="1" applyAlignment="1">
      <alignment horizontal="right" vertical="center"/>
    </xf>
    <xf numFmtId="0" fontId="14" fillId="2" borderId="7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center" vertical="top"/>
    </xf>
    <xf numFmtId="0" fontId="6" fillId="2" borderId="0" xfId="0" applyNumberFormat="1" applyFont="1" applyFill="1" applyBorder="1" applyAlignment="1">
      <alignment horizontal="center" vertical="center"/>
    </xf>
    <xf numFmtId="0" fontId="12" fillId="2" borderId="7" xfId="0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bottom"/>
    </xf>
    <xf numFmtId="0" fontId="9" fillId="2" borderId="7" xfId="0" applyNumberFormat="1" applyFont="1" applyFill="1" applyBorder="1" applyAlignment="1">
      <alignment horizontal="left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vertical="top"/>
    </xf>
    <xf numFmtId="1" fontId="5" fillId="2" borderId="7" xfId="0" applyNumberFormat="1" applyFont="1" applyFill="1" applyBorder="1" applyAlignment="1">
      <alignment horizontal="center" vertical="bottom"/>
    </xf>
    <xf numFmtId="2" fontId="1" fillId="2" borderId="7" xfId="0" applyNumberFormat="1" applyFont="1" applyFill="1" applyBorder="1" applyAlignment="1">
      <alignment horizontal="center" vertical="bottom"/>
    </xf>
    <xf numFmtId="49" fontId="1" fillId="2" borderId="3" xfId="0" applyNumberFormat="1" applyFont="1" applyFill="1" applyBorder="1" applyAlignment="1">
      <alignment horizontal="right" vertical="top" indent="1"/>
    </xf>
    <xf numFmtId="0" fontId="5" fillId="2" borderId="4" xfId="0" applyNumberFormat="1" applyFont="1" applyFill="1" applyBorder="1" applyAlignment="1">
      <alignment horizontal="left" vertical="center"/>
    </xf>
    <xf numFmtId="1" fontId="14" fillId="2" borderId="7" xfId="0" applyNumberFormat="1" applyFont="1" applyFill="1" applyBorder="1" applyAlignment="1">
      <alignment horizontal="center" vertical="bottom"/>
    </xf>
    <xf numFmtId="49" fontId="14" fillId="2" borderId="0" xfId="0" applyNumberFormat="1" applyFont="1" applyFill="1" applyBorder="1" applyAlignment="1">
      <alignment horizontal="center" vertical="bottom"/>
    </xf>
    <xf numFmtId="0" fontId="8" fillId="2" borderId="7" xfId="0" applyNumberFormat="1" applyFont="1" applyFill="1" applyBorder="1" applyAlignment="1">
      <alignment horizontal="left" vertical="center"/>
    </xf>
    <xf numFmtId="49" fontId="14" fillId="2" borderId="7" xfId="0" applyNumberFormat="1" applyFont="1" applyFill="1" applyBorder="1" applyAlignment="1">
      <alignment horizontal="center" vertical="bottom"/>
    </xf>
    <xf numFmtId="0" fontId="8" fillId="2" borderId="3" xfId="0" applyNumberFormat="1" applyFont="1" applyFill="1" applyBorder="1" applyAlignment="1">
      <alignment horizontal="right" vertical="center"/>
    </xf>
    <xf numFmtId="0" fontId="5" fillId="2" borderId="7" xfId="1" applyNumberFormat="1" applyFont="1" applyFill="1" applyBorder="1" applyAlignment="1">
      <alignment horizontal="left" vertical="top" wrapText="1"/>
    </xf>
    <xf numFmtId="0" fontId="5" fillId="2" borderId="7" xfId="1" applyNumberFormat="1" applyFont="1" applyFill="1" applyBorder="1" applyAlignment="1">
      <alignment horizontal="center" vertical="center"/>
    </xf>
    <xf numFmtId="2" fontId="5" fillId="2" borderId="7" xfId="1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right" vertical="top" indent="1"/>
    </xf>
    <xf numFmtId="0" fontId="8" fillId="2" borderId="0" xfId="0" applyNumberFormat="1" applyFont="1" applyFill="1" applyBorder="1" applyAlignment="1">
      <alignment horizontal="left"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left" vertical="center"/>
    </xf>
    <xf numFmtId="0" fontId="1" fillId="2" borderId="7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 vertical="bottom"/>
    </xf>
    <xf numFmtId="0" fontId="5" fillId="2" borderId="7" xfId="0" applyFont="1" applyFill="1" applyBorder="1" applyAlignment="1">
      <alignment horizontal="center" vertical="bottom"/>
    </xf>
    <xf numFmtId="0" fontId="5" fillId="2" borderId="7" xfId="0" applyFont="1" applyFill="1" applyBorder="1" applyAlignment="1">
      <alignment horizontal="center" vertical="top"/>
    </xf>
    <xf numFmtId="0" fontId="9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bottom"/>
    </xf>
    <xf numFmtId="0" fontId="12" fillId="2" borderId="0" xfId="0" applyFill="1" applyBorder="1" applyAlignment="1">
      <alignment horizontal="center" vertical="center"/>
    </xf>
    <xf numFmtId="0" fontId="12" fillId="2" borderId="0" xfId="0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bottom"/>
    </xf>
    <xf numFmtId="0" fontId="6" fillId="2" borderId="0" xfId="0" applyFont="1" applyFill="1" applyBorder="1" applyAlignment="1">
      <alignment horizontal="center" vertical="top"/>
    </xf>
    <xf numFmtId="0" fontId="1" fillId="2" borderId="7" xfId="0" applyNumberFormat="1" applyFont="1" applyFill="1" applyBorder="1" applyAlignment="1">
      <alignment vertical="top"/>
    </xf>
    <xf numFmtId="0" fontId="13" fillId="2" borderId="7" xfId="0" applyNumberFormat="1" applyFont="1" applyFill="1" applyBorder="1" applyAlignment="1">
      <alignment horizontal="center" vertical="top"/>
    </xf>
    <xf numFmtId="2" fontId="1" fillId="2" borderId="7" xfId="0" applyNumberFormat="1" applyFont="1" applyFill="1" applyBorder="1" applyAlignment="1">
      <alignment vertical="top"/>
    </xf>
    <xf numFmtId="0" fontId="8" fillId="2" borderId="7" xfId="0" applyNumberFormat="1" applyFont="1" applyFill="1" applyBorder="1" applyAlignment="1">
      <alignment horizontal="left" vertical="center"/>
    </xf>
    <xf numFmtId="0" fontId="5" fillId="2" borderId="7" xfId="0" applyNumberFormat="1" applyFont="1" applyFill="1" applyBorder="1" applyAlignment="1">
      <alignment horizontal="left" vertical="bottom"/>
    </xf>
    <xf numFmtId="0" fontId="8" fillId="2" borderId="3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bottom"/>
    </xf>
    <xf numFmtId="0" fontId="8" fillId="2" borderId="4" xfId="0" applyNumberFormat="1" applyFont="1" applyFill="1" applyBorder="1" applyAlignment="1">
      <alignment horizontal="left" vertical="center"/>
    </xf>
    <xf numFmtId="0" fontId="8" fillId="2" borderId="5" xfId="0" applyNumberFormat="1" applyFont="1" applyFill="1" applyBorder="1" applyAlignment="1">
      <alignment horizontal="left" vertical="center"/>
    </xf>
    <xf numFmtId="0" fontId="14" fillId="2" borderId="5" xfId="0" applyNumberFormat="1" applyFont="1" applyFill="1" applyBorder="1" applyAlignment="1">
      <alignment horizontal="center" vertical="bottom" wrapText="1"/>
    </xf>
    <xf numFmtId="0" fontId="5" fillId="2" borderId="7" xfId="0" applyNumberFormat="1" applyFont="1" applyFill="1" applyBorder="1" applyAlignment="1">
      <alignment vertical="bottom"/>
    </xf>
    <xf numFmtId="0" fontId="5" fillId="2" borderId="3" xfId="0" applyNumberFormat="1" applyFont="1" applyFill="1" applyBorder="1" applyAlignment="1">
      <alignment horizontal="left" vertical="bottom" wrapText="1"/>
    </xf>
    <xf numFmtId="0" fontId="1" fillId="2" borderId="7" xfId="0" applyNumberFormat="1" applyFont="1" applyFill="1" applyBorder="1" applyAlignment="1">
      <alignment horizontal="right" vertical="center"/>
    </xf>
    <xf numFmtId="0" fontId="8" fillId="2" borderId="10" xfId="0" applyNumberFormat="1" applyFont="1" applyFill="1" applyBorder="1" applyAlignment="1">
      <alignment horizontal="left" vertical="center"/>
    </xf>
    <xf numFmtId="0" fontId="10" fillId="2" borderId="7" xfId="0" applyNumberFormat="1" applyFont="1" applyFill="1" applyBorder="1" applyAlignment="1">
      <alignment horizontal="left" vertical="top"/>
    </xf>
    <xf numFmtId="0" fontId="8" fillId="2" borderId="3" xfId="0" applyNumberFormat="1" applyFont="1" applyFill="1" applyBorder="1">
      <alignment vertical="center"/>
    </xf>
    <xf numFmtId="0" fontId="8" fillId="2" borderId="5" xfId="0" applyNumberFormat="1" applyFont="1" applyFill="1" applyBorder="1">
      <alignment vertical="center"/>
    </xf>
    <xf numFmtId="1" fontId="1" fillId="2" borderId="7" xfId="0" applyNumberFormat="1" applyFont="1" applyFill="1" applyBorder="1" applyAlignment="1">
      <alignment horizontal="center" vertical="bottom"/>
    </xf>
    <xf numFmtId="1" fontId="13" fillId="2" borderId="7" xfId="0" applyNumberFormat="1" applyFont="1" applyFill="1" applyBorder="1" applyAlignment="1">
      <alignment horizontal="center" vertical="bottom"/>
    </xf>
    <xf numFmtId="0" fontId="1" fillId="2" borderId="7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top"/>
    </xf>
    <xf numFmtId="0" fontId="15" fillId="0" borderId="0" xfId="0" applyFont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left" vertical="center" wrapText="1"/>
    </xf>
    <xf numFmtId="2" fontId="16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left" vertical="center" wrapText="1"/>
    </xf>
    <xf numFmtId="2" fontId="17" fillId="0" borderId="7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left" vertical="center" wrapText="1"/>
    </xf>
    <xf numFmtId="2" fontId="18" fillId="0" borderId="7" xfId="0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left" vertical="center" wrapText="1"/>
    </xf>
    <xf numFmtId="2" fontId="18" fillId="0" borderId="7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right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left" vertical="center" wrapText="1"/>
    </xf>
    <xf numFmtId="2" fontId="16" fillId="0" borderId="7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horizontal="right" vertical="center" wrapText="1"/>
    </xf>
    <xf numFmtId="1" fontId="18" fillId="0" borderId="7" xfId="0" applyNumberFormat="1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left" vertical="top" wrapText="1"/>
    </xf>
    <xf numFmtId="2" fontId="18" fillId="0" borderId="7" xfId="0" applyNumberFormat="1" applyFont="1" applyFill="1" applyBorder="1" applyAlignment="1">
      <alignment horizontal="center" vertical="top" wrapText="1"/>
    </xf>
  </cellXfs>
  <cellStyles count="2">
    <cellStyle name="常规" xfId="0" builtinId="0"/>
    <cellStyle name="Обычный 2" xfId="1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www.wps.cn/officeDocument/2020/cellImage" Target="cellimages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92D050"/>
    <pageSetUpPr fitToPage="1"/>
  </sheetPr>
  <dimension ref="A1:AN159"/>
  <sheetViews>
    <sheetView workbookViewId="0" topLeftCell="A127" zoomScale="136">
      <selection activeCell="B155" sqref="B155"/>
    </sheetView>
  </sheetViews>
  <sheetFormatPr defaultRowHeight="12.75" defaultColWidth="10"/>
  <cols>
    <col min="1" max="1" customWidth="1" width="11.0" style="1"/>
    <col min="2" max="2" customWidth="1" width="32.85547" style="2"/>
    <col min="3" max="3" customWidth="1" width="7.8554688" style="2"/>
    <col min="4" max="4" customWidth="1" width="7.2851562" style="2"/>
    <col min="5" max="5" customWidth="1" width="7.7109375" style="2"/>
    <col min="6" max="6" customWidth="1" width="7.4257812" style="2"/>
    <col min="7" max="7" customWidth="1" width="8.5703125" style="2"/>
    <col min="8" max="8" hidden="1" customWidth="1" width="5.5703125" style="2"/>
    <col min="9" max="9" hidden="1" customWidth="1" width="6.5703125" style="2"/>
    <col min="10" max="10" hidden="1" customWidth="1" width="7.4257812" style="2"/>
    <col min="11" max="11" hidden="1" customWidth="1" width="7.0" style="2"/>
    <col min="12" max="12" hidden="1" customWidth="1" width="6.7109375" style="2"/>
    <col min="13" max="13" hidden="1" customWidth="1" width="6.2851562" style="2"/>
    <col min="14" max="14" hidden="1" customWidth="1" width="5.8554688" style="2"/>
    <col min="15" max="16" hidden="1" customWidth="1" width="9.140625" style="2"/>
    <col min="17" max="17" hidden="1" customWidth="1" width="14.285156" style="2"/>
    <col min="18" max="18" hidden="1" customWidth="1" width="0.0" style="2"/>
    <col min="19" max="16384" customWidth="0" width="9.140625" style="2"/>
  </cols>
  <sheetData>
    <row r="1" spans="8:8">
      <c r="B1" s="2" t="s">
        <v>197</v>
      </c>
      <c r="C1" s="3" t="s">
        <v>176</v>
      </c>
      <c r="D1" s="3"/>
      <c r="E1" s="3"/>
      <c r="F1" s="3"/>
      <c r="G1" s="3"/>
      <c r="H1" s="3"/>
      <c r="I1" s="3"/>
      <c r="J1" s="3"/>
    </row>
    <row r="2" spans="8:8">
      <c r="B2" s="2" t="s">
        <v>195</v>
      </c>
      <c r="C2" s="4"/>
      <c r="D2" s="4"/>
      <c r="E2" s="4"/>
      <c r="F2" s="4"/>
      <c r="G2" s="4"/>
      <c r="H2" s="4"/>
      <c r="I2" s="4"/>
      <c r="J2" s="4"/>
    </row>
    <row r="3" spans="8:8" ht="33.75" customHeight="1">
      <c r="A3" s="5" t="s">
        <v>0</v>
      </c>
      <c r="B3" s="6" t="s">
        <v>6</v>
      </c>
      <c r="C3" s="7" t="s">
        <v>14</v>
      </c>
      <c r="D3" s="8" t="s">
        <v>16</v>
      </c>
      <c r="E3" s="9"/>
      <c r="F3" s="10"/>
      <c r="G3" s="11" t="s">
        <v>23</v>
      </c>
      <c r="H3" s="12" t="s">
        <v>53</v>
      </c>
      <c r="I3" s="13"/>
      <c r="J3" s="14" t="s">
        <v>52</v>
      </c>
      <c r="K3" s="15" t="s">
        <v>75</v>
      </c>
      <c r="L3" s="16"/>
      <c r="M3" s="16"/>
      <c r="N3" s="17"/>
    </row>
    <row r="4" spans="8:8" ht="34.5" customHeight="1">
      <c r="A4" s="18" t="s">
        <v>1</v>
      </c>
      <c r="B4" s="19" t="s">
        <v>7</v>
      </c>
      <c r="C4" s="20" t="s">
        <v>61</v>
      </c>
      <c r="D4" s="21" t="s">
        <v>17</v>
      </c>
      <c r="E4" s="21" t="s">
        <v>19</v>
      </c>
      <c r="F4" s="22" t="s">
        <v>21</v>
      </c>
      <c r="G4" s="23"/>
      <c r="H4" s="24" t="s">
        <v>54</v>
      </c>
      <c r="I4" s="25" t="s">
        <v>55</v>
      </c>
      <c r="J4" s="26" t="s">
        <v>56</v>
      </c>
      <c r="K4" s="24" t="s">
        <v>57</v>
      </c>
      <c r="L4" s="24" t="s">
        <v>58</v>
      </c>
      <c r="M4" s="24" t="s">
        <v>59</v>
      </c>
      <c r="N4" s="24" t="s">
        <v>60</v>
      </c>
    </row>
    <row r="5" spans="8:8">
      <c r="A5" s="27" t="s">
        <v>2</v>
      </c>
      <c r="B5" s="28" t="s">
        <v>8</v>
      </c>
      <c r="C5" s="29" t="s">
        <v>15</v>
      </c>
      <c r="D5" s="28" t="s">
        <v>18</v>
      </c>
      <c r="E5" s="29" t="s">
        <v>20</v>
      </c>
      <c r="F5" s="29" t="s">
        <v>22</v>
      </c>
      <c r="G5" s="29" t="s">
        <v>24</v>
      </c>
      <c r="H5" s="30" t="s">
        <v>25</v>
      </c>
      <c r="I5" s="30" t="s">
        <v>26</v>
      </c>
      <c r="J5" s="30">
        <v>11.0</v>
      </c>
      <c r="K5" s="30">
        <v>18.0</v>
      </c>
      <c r="L5" s="30">
        <v>19.0</v>
      </c>
      <c r="M5" s="30">
        <v>20.0</v>
      </c>
      <c r="N5" s="30">
        <v>21.0</v>
      </c>
    </row>
    <row r="6" spans="8:8">
      <c r="A6" s="31" t="s">
        <v>3</v>
      </c>
      <c r="B6" s="32" t="s">
        <v>13</v>
      </c>
      <c r="C6" s="33"/>
      <c r="D6" s="34">
        <f>D7+D17</f>
        <v>42.2</v>
      </c>
      <c r="E6" s="34">
        <f t="shared" si="0" ref="E6:O6">E7+E17</f>
        <v>48.41</v>
      </c>
      <c r="F6" s="34">
        <f t="shared" si="0"/>
        <v>188.9</v>
      </c>
      <c r="G6" s="34">
        <f>G7+G17</f>
        <v>1407.66</v>
      </c>
      <c r="H6" s="34">
        <f t="shared" si="0"/>
        <v>0.55</v>
      </c>
      <c r="I6" s="34">
        <f t="shared" si="0"/>
        <v>41.79</v>
      </c>
      <c r="J6" s="34">
        <f t="shared" si="0"/>
        <v>20.0</v>
      </c>
      <c r="K6" s="34">
        <f t="shared" si="0"/>
        <v>471.98</v>
      </c>
      <c r="L6" s="34">
        <f t="shared" si="0"/>
        <v>138.25</v>
      </c>
      <c r="M6" s="34">
        <f t="shared" si="0"/>
        <v>86.35</v>
      </c>
      <c r="N6" s="34">
        <f t="shared" si="0"/>
        <v>10.61</v>
      </c>
      <c r="O6" s="35">
        <f t="shared" si="0"/>
        <v>139.3</v>
      </c>
    </row>
    <row r="7" spans="8:8">
      <c r="A7" s="36"/>
      <c r="B7" s="37" t="s">
        <v>66</v>
      </c>
      <c r="C7" s="33"/>
      <c r="D7" s="34">
        <f>D8+D9+D10+D11+D12+D13</f>
        <v>17.49</v>
      </c>
      <c r="E7" s="34">
        <f>E8+E9+E10+E11+E12+E13</f>
        <v>23.47</v>
      </c>
      <c r="F7" s="34">
        <f>F8+F9+F10+F11+F12+F13</f>
        <v>98.16999999999999</v>
      </c>
      <c r="G7" s="34">
        <f>G8+G9+G10+G11+G12+G13</f>
        <v>698.32</v>
      </c>
      <c r="H7" s="34">
        <f t="shared" si="1" ref="H7:N7">H11+H12+H13+H14+H15</f>
        <v>0.3</v>
      </c>
      <c r="I7" s="34">
        <f t="shared" si="1"/>
        <v>18.31</v>
      </c>
      <c r="J7" s="34">
        <f t="shared" si="1"/>
        <v>20.0</v>
      </c>
      <c r="K7" s="34">
        <f t="shared" si="1"/>
        <v>347.5</v>
      </c>
      <c r="L7" s="34">
        <f t="shared" si="1"/>
        <v>2.87</v>
      </c>
      <c r="M7" s="34">
        <f t="shared" si="1"/>
        <v>40.04</v>
      </c>
      <c r="N7" s="34">
        <f t="shared" si="1"/>
        <v>5.79</v>
      </c>
      <c r="O7" s="35">
        <f>O11+O12+O13+O14+O15</f>
        <v>69.7</v>
      </c>
      <c r="Q7" s="2">
        <v>470.0</v>
      </c>
    </row>
    <row r="8" spans="8:8">
      <c r="A8" s="38" t="s">
        <v>162</v>
      </c>
      <c r="B8" s="39" t="s">
        <v>35</v>
      </c>
      <c r="C8" s="40">
        <v>10.0</v>
      </c>
      <c r="D8" s="41">
        <v>2.6</v>
      </c>
      <c r="E8" s="41">
        <v>2.65</v>
      </c>
      <c r="F8" s="41">
        <v>0.35</v>
      </c>
      <c r="G8" s="41">
        <v>36.24</v>
      </c>
      <c r="H8" s="34"/>
      <c r="I8" s="34"/>
      <c r="J8" s="34"/>
      <c r="K8" s="34"/>
      <c r="L8" s="34"/>
      <c r="M8" s="34"/>
      <c r="N8" s="34"/>
      <c r="O8" s="42"/>
      <c r="P8" s="2">
        <f>(D8+F8)*4.2+E8*9</f>
        <v>36.24</v>
      </c>
    </row>
    <row r="9" spans="8:8">
      <c r="A9" s="38" t="s">
        <v>160</v>
      </c>
      <c r="B9" s="43" t="s">
        <v>135</v>
      </c>
      <c r="C9" s="40">
        <v>5.0</v>
      </c>
      <c r="D9" s="41">
        <v>0.05</v>
      </c>
      <c r="E9" s="41">
        <v>3.63</v>
      </c>
      <c r="F9" s="41">
        <v>0.07</v>
      </c>
      <c r="G9" s="41">
        <v>33.11</v>
      </c>
      <c r="H9" s="34"/>
      <c r="I9" s="34"/>
      <c r="J9" s="34"/>
      <c r="K9" s="34"/>
      <c r="L9" s="34"/>
      <c r="M9" s="34"/>
      <c r="N9" s="34"/>
      <c r="O9" s="42"/>
      <c r="P9" s="2">
        <f t="shared" si="2" ref="P9:P72">(D9+F9)*4.2+E9*9</f>
        <v>33.174</v>
      </c>
    </row>
    <row r="10" spans="8:8" ht="24.0">
      <c r="A10" s="44" t="s">
        <v>161</v>
      </c>
      <c r="B10" s="45" t="s">
        <v>182</v>
      </c>
      <c r="C10" s="29">
        <v>205.0</v>
      </c>
      <c r="D10" s="46">
        <v>6.81</v>
      </c>
      <c r="E10" s="46">
        <v>10.45</v>
      </c>
      <c r="F10" s="46">
        <v>29.51</v>
      </c>
      <c r="G10" s="46">
        <v>246.6</v>
      </c>
      <c r="H10" s="34"/>
      <c r="I10" s="34"/>
      <c r="J10" s="34"/>
      <c r="K10" s="34"/>
      <c r="L10" s="34"/>
      <c r="M10" s="34"/>
      <c r="N10" s="34"/>
      <c r="O10" s="42"/>
      <c r="P10" s="2">
        <f t="shared" si="2"/>
        <v>246.594</v>
      </c>
    </row>
    <row r="11" spans="8:8">
      <c r="A11" s="44"/>
      <c r="B11" s="47" t="s">
        <v>62</v>
      </c>
      <c r="C11" s="48">
        <v>40.0</v>
      </c>
      <c r="D11" s="49">
        <f>1.5*3/1.5</f>
        <v>3.0</v>
      </c>
      <c r="E11" s="50">
        <f>2.36*3/1.5</f>
        <v>4.72</v>
      </c>
      <c r="F11" s="49">
        <f>14.98*3/1.5</f>
        <v>29.959999999999997</v>
      </c>
      <c r="G11" s="49">
        <f>91*3/1.5</f>
        <v>182.0</v>
      </c>
      <c r="H11" s="51" t="s">
        <v>45</v>
      </c>
      <c r="I11" s="51" t="s">
        <v>44</v>
      </c>
      <c r="J11" s="51" t="s">
        <v>46</v>
      </c>
      <c r="K11" s="51" t="s">
        <v>47</v>
      </c>
      <c r="L11" s="51" t="s">
        <v>48</v>
      </c>
      <c r="M11" s="51" t="s">
        <v>49</v>
      </c>
      <c r="N11" s="51" t="s">
        <v>50</v>
      </c>
      <c r="O11" s="2">
        <v>15.0</v>
      </c>
      <c r="P11" s="2">
        <f t="shared" si="2"/>
        <v>180.91199999999998</v>
      </c>
    </row>
    <row r="12" spans="8:8">
      <c r="A12" s="44" t="s">
        <v>164</v>
      </c>
      <c r="B12" s="45" t="s">
        <v>51</v>
      </c>
      <c r="C12" s="29">
        <v>200.0</v>
      </c>
      <c r="D12" s="46">
        <v>1.99</v>
      </c>
      <c r="E12" s="46">
        <v>1.7</v>
      </c>
      <c r="F12" s="46">
        <v>18.6</v>
      </c>
      <c r="G12" s="46">
        <v>102.03</v>
      </c>
      <c r="H12" s="30">
        <v>0.03</v>
      </c>
      <c r="I12" s="30">
        <v>0.65</v>
      </c>
      <c r="J12" s="25"/>
      <c r="K12" s="30">
        <v>64.43</v>
      </c>
      <c r="L12" s="25"/>
      <c r="M12" s="25"/>
      <c r="N12" s="30">
        <v>0.4</v>
      </c>
      <c r="O12" s="2">
        <v>7.7</v>
      </c>
      <c r="P12" s="2">
        <f t="shared" si="2"/>
        <v>101.77799999999999</v>
      </c>
    </row>
    <row r="13" spans="8:8">
      <c r="A13" s="52"/>
      <c r="B13" s="39" t="s">
        <v>11</v>
      </c>
      <c r="C13" s="40">
        <v>40.0</v>
      </c>
      <c r="D13" s="53">
        <v>3.04</v>
      </c>
      <c r="E13" s="53">
        <v>0.32</v>
      </c>
      <c r="F13" s="53">
        <v>19.68</v>
      </c>
      <c r="G13" s="53">
        <v>98.34</v>
      </c>
      <c r="H13" s="25"/>
      <c r="I13" s="54">
        <v>0.28</v>
      </c>
      <c r="J13" s="25"/>
      <c r="K13" s="54">
        <v>100.5</v>
      </c>
      <c r="L13" s="25"/>
      <c r="M13" s="25"/>
      <c r="N13" s="54">
        <v>0.09</v>
      </c>
      <c r="O13" s="2">
        <v>9.0</v>
      </c>
      <c r="P13" s="2">
        <f t="shared" si="2"/>
        <v>98.304</v>
      </c>
    </row>
    <row r="14" spans="8:8" hidden="1">
      <c r="A14" s="55"/>
      <c r="B14" s="47"/>
      <c r="C14" s="56"/>
      <c r="D14" s="49"/>
      <c r="E14" s="46"/>
      <c r="F14" s="49"/>
      <c r="G14" s="49"/>
      <c r="H14" s="30">
        <v>0.04</v>
      </c>
      <c r="I14" s="25"/>
      <c r="J14" s="25"/>
      <c r="K14" s="54">
        <v>7.6</v>
      </c>
      <c r="L14" s="25"/>
      <c r="M14" s="25"/>
      <c r="N14" s="30">
        <v>0.48</v>
      </c>
      <c r="O14" s="2">
        <v>4.0</v>
      </c>
      <c r="P14" s="2">
        <f t="shared" si="2"/>
        <v>0.0</v>
      </c>
    </row>
    <row r="15" spans="8:8" hidden="1">
      <c r="A15" s="57"/>
      <c r="B15" s="58"/>
      <c r="C15" s="59"/>
      <c r="D15" s="60"/>
      <c r="E15" s="61"/>
      <c r="F15" s="60"/>
      <c r="G15" s="60"/>
      <c r="H15" s="62">
        <v>0.05</v>
      </c>
      <c r="I15" s="63">
        <v>16.0</v>
      </c>
      <c r="J15" s="64"/>
      <c r="K15" s="63">
        <v>25.6</v>
      </c>
      <c r="L15" s="64"/>
      <c r="M15" s="64"/>
      <c r="N15" s="63">
        <v>3.52</v>
      </c>
      <c r="O15" s="2">
        <v>34.0</v>
      </c>
      <c r="P15" s="2">
        <f t="shared" si="2"/>
        <v>0.0</v>
      </c>
    </row>
    <row r="16" spans="8:8">
      <c r="A16" s="57"/>
      <c r="B16" s="58"/>
      <c r="C16" s="65">
        <f>SUM(C8:C15)</f>
        <v>500.0</v>
      </c>
      <c r="D16" s="60"/>
      <c r="E16" s="61"/>
      <c r="F16" s="60"/>
      <c r="G16" s="60"/>
      <c r="H16" s="62"/>
      <c r="I16" s="63"/>
      <c r="J16" s="64"/>
      <c r="K16" s="63"/>
      <c r="L16" s="64"/>
      <c r="M16" s="64"/>
      <c r="N16" s="63"/>
      <c r="P16" s="2">
        <f t="shared" si="2"/>
        <v>0.0</v>
      </c>
    </row>
    <row r="17" spans="8:8">
      <c r="A17" s="66"/>
      <c r="B17" s="67" t="s">
        <v>67</v>
      </c>
      <c r="C17" s="68"/>
      <c r="D17" s="69">
        <f>D18+D19+D20+D21+D22</f>
        <v>24.71</v>
      </c>
      <c r="E17" s="69">
        <f t="shared" si="3" ref="E17:O17">E18+E19+E20+E21+E22</f>
        <v>24.94</v>
      </c>
      <c r="F17" s="69">
        <f t="shared" si="3"/>
        <v>90.72999999999999</v>
      </c>
      <c r="G17" s="69">
        <f>G18+G19+G20+G21+G22</f>
        <v>709.34</v>
      </c>
      <c r="H17" s="69">
        <f t="shared" si="3"/>
        <v>0.25</v>
      </c>
      <c r="I17" s="69">
        <f t="shared" si="3"/>
        <v>23.48</v>
      </c>
      <c r="J17" s="69">
        <f t="shared" si="3"/>
        <v>0.0</v>
      </c>
      <c r="K17" s="69">
        <f t="shared" si="3"/>
        <v>124.48</v>
      </c>
      <c r="L17" s="69">
        <f t="shared" si="3"/>
        <v>135.38</v>
      </c>
      <c r="M17" s="69">
        <f t="shared" si="3"/>
        <v>46.31</v>
      </c>
      <c r="N17" s="69">
        <f t="shared" si="3"/>
        <v>4.82</v>
      </c>
      <c r="O17" s="69">
        <f t="shared" si="3"/>
        <v>69.6</v>
      </c>
      <c r="P17" s="2">
        <f t="shared" si="2"/>
        <v>709.308</v>
      </c>
      <c r="Q17" s="2">
        <v>705.0</v>
      </c>
    </row>
    <row r="18" spans="8:8">
      <c r="A18" s="70" t="s">
        <v>173</v>
      </c>
      <c r="B18" s="43" t="s">
        <v>136</v>
      </c>
      <c r="C18" s="71">
        <v>60.0</v>
      </c>
      <c r="D18" s="49">
        <v>0.94</v>
      </c>
      <c r="E18" s="49">
        <v>3.06</v>
      </c>
      <c r="F18" s="49">
        <v>5.66</v>
      </c>
      <c r="G18" s="49">
        <v>55.26</v>
      </c>
      <c r="H18" s="46">
        <v>0.01</v>
      </c>
      <c r="I18" s="46">
        <v>3.99</v>
      </c>
      <c r="J18" s="46"/>
      <c r="K18" s="46">
        <v>21.28</v>
      </c>
      <c r="L18" s="46">
        <v>24.38</v>
      </c>
      <c r="M18" s="46">
        <v>12.42</v>
      </c>
      <c r="N18" s="46">
        <v>0.79</v>
      </c>
      <c r="O18" s="72">
        <v>7.8</v>
      </c>
      <c r="P18" s="2">
        <f t="shared" si="2"/>
        <v>55.26</v>
      </c>
    </row>
    <row r="19" spans="8:8" customHeight="1">
      <c r="A19" s="44" t="s">
        <v>165</v>
      </c>
      <c r="B19" s="45" t="s">
        <v>188</v>
      </c>
      <c r="C19" s="29">
        <v>200.0</v>
      </c>
      <c r="D19" s="46">
        <v>3.0</v>
      </c>
      <c r="E19" s="46">
        <f>4.61-0.21</f>
        <v>4.4</v>
      </c>
      <c r="F19" s="46">
        <f>12.54-0.05</f>
        <v>12.489999999999998</v>
      </c>
      <c r="G19" s="46">
        <v>104.65</v>
      </c>
      <c r="H19" s="46" t="s">
        <v>70</v>
      </c>
      <c r="I19" s="46" t="s">
        <v>71</v>
      </c>
      <c r="J19" s="50"/>
      <c r="K19" s="46" t="s">
        <v>72</v>
      </c>
      <c r="L19" s="46" t="s">
        <v>73</v>
      </c>
      <c r="M19" s="46" t="s">
        <v>74</v>
      </c>
      <c r="N19" s="46">
        <v>0.99</v>
      </c>
      <c r="O19" s="2">
        <v>21.0</v>
      </c>
      <c r="P19" s="2">
        <f t="shared" si="2"/>
        <v>104.65800000000002</v>
      </c>
    </row>
    <row r="20" spans="8:8">
      <c r="A20" s="73" t="s">
        <v>169</v>
      </c>
      <c r="B20" s="45" t="s">
        <v>137</v>
      </c>
      <c r="C20" s="29">
        <v>200.0</v>
      </c>
      <c r="D20" s="46">
        <v>17.73</v>
      </c>
      <c r="E20" s="46">
        <v>17.16</v>
      </c>
      <c r="F20" s="46">
        <v>42.9</v>
      </c>
      <c r="G20" s="46">
        <v>409.09</v>
      </c>
      <c r="H20" s="29">
        <v>0.05</v>
      </c>
      <c r="I20" s="29">
        <v>1.22</v>
      </c>
      <c r="J20" s="74"/>
      <c r="K20" s="29">
        <v>9.8</v>
      </c>
      <c r="L20" s="29">
        <v>16.87</v>
      </c>
      <c r="M20" s="29">
        <v>4.54</v>
      </c>
      <c r="N20" s="29">
        <v>1.39</v>
      </c>
      <c r="O20" s="2">
        <v>25.0</v>
      </c>
      <c r="P20" s="2">
        <f t="shared" si="2"/>
        <v>409.086</v>
      </c>
    </row>
    <row r="21" spans="8:8">
      <c r="A21" s="75" t="s">
        <v>163</v>
      </c>
      <c r="B21" s="43" t="s">
        <v>10</v>
      </c>
      <c r="C21" s="48">
        <v>200.0</v>
      </c>
      <c r="D21" s="49">
        <v>0.0</v>
      </c>
      <c r="E21" s="50">
        <v>0.0</v>
      </c>
      <c r="F21" s="49">
        <v>10.0</v>
      </c>
      <c r="G21" s="49">
        <v>42.0</v>
      </c>
      <c r="H21" s="54">
        <v>0.04</v>
      </c>
      <c r="I21" s="54">
        <v>1.48</v>
      </c>
      <c r="J21" s="25"/>
      <c r="K21" s="54">
        <v>59.5</v>
      </c>
      <c r="L21" s="25"/>
      <c r="M21" s="25"/>
      <c r="N21" s="54">
        <v>1.21</v>
      </c>
      <c r="O21" s="2">
        <v>13.0</v>
      </c>
      <c r="P21" s="2">
        <f t="shared" si="2"/>
        <v>42.0</v>
      </c>
    </row>
    <row r="22" spans="8:8">
      <c r="A22" s="38"/>
      <c r="B22" s="43" t="s">
        <v>11</v>
      </c>
      <c r="C22" s="29">
        <v>40.0</v>
      </c>
      <c r="D22" s="49">
        <v>3.04</v>
      </c>
      <c r="E22" s="46">
        <v>0.32</v>
      </c>
      <c r="F22" s="49">
        <v>19.68</v>
      </c>
      <c r="G22" s="49">
        <v>98.34</v>
      </c>
      <c r="H22" s="29">
        <v>0.04</v>
      </c>
      <c r="I22" s="74"/>
      <c r="J22" s="74"/>
      <c r="K22" s="48">
        <v>8.0</v>
      </c>
      <c r="L22" s="74">
        <v>26.0</v>
      </c>
      <c r="M22" s="74">
        <v>5.6</v>
      </c>
      <c r="N22" s="29">
        <v>0.44</v>
      </c>
      <c r="O22" s="2">
        <v>2.8</v>
      </c>
      <c r="P22" s="2">
        <f t="shared" si="2"/>
        <v>98.304</v>
      </c>
    </row>
    <row r="23" spans="8:8">
      <c r="A23" s="57"/>
      <c r="B23" s="58"/>
      <c r="C23" s="65">
        <f>SUM(C18:C22)</f>
        <v>700.0</v>
      </c>
      <c r="D23" s="60"/>
      <c r="E23" s="61"/>
      <c r="F23" s="60"/>
      <c r="G23" s="60"/>
      <c r="H23" s="29"/>
      <c r="I23" s="74"/>
      <c r="J23" s="74"/>
      <c r="K23" s="63"/>
      <c r="L23" s="64"/>
      <c r="M23" s="64"/>
      <c r="N23" s="63"/>
      <c r="P23" s="2">
        <f t="shared" si="2"/>
        <v>0.0</v>
      </c>
    </row>
    <row r="24" spans="8:8">
      <c r="A24" s="31" t="s">
        <v>4</v>
      </c>
      <c r="B24" s="37" t="s">
        <v>13</v>
      </c>
      <c r="C24" s="33"/>
      <c r="D24" s="34">
        <f t="shared" si="4" ref="D24:O24">D25+D31</f>
        <v>40.46</v>
      </c>
      <c r="E24" s="34">
        <f t="shared" si="4"/>
        <v>43.07</v>
      </c>
      <c r="F24" s="34">
        <f t="shared" si="4"/>
        <v>196.01</v>
      </c>
      <c r="G24" s="34">
        <f>G25+G31</f>
        <v>1383.7060000000001</v>
      </c>
      <c r="H24" s="34" t="e">
        <f t="shared" si="4"/>
        <v>#REF!</v>
      </c>
      <c r="I24" s="34" t="e">
        <f t="shared" si="4"/>
        <v>#REF!</v>
      </c>
      <c r="J24" s="34" t="e">
        <f t="shared" si="4"/>
        <v>#REF!</v>
      </c>
      <c r="K24" s="34" t="e">
        <f t="shared" si="4"/>
        <v>#REF!</v>
      </c>
      <c r="L24" s="34" t="e">
        <f t="shared" si="4"/>
        <v>#REF!</v>
      </c>
      <c r="M24" s="34" t="e">
        <f t="shared" si="4"/>
        <v>#REF!</v>
      </c>
      <c r="N24" s="34" t="e">
        <f t="shared" si="4"/>
        <v>#REF!</v>
      </c>
      <c r="O24" s="35" t="e">
        <f t="shared" si="4"/>
        <v>#REF!</v>
      </c>
      <c r="P24" s="2">
        <f t="shared" si="2"/>
        <v>1380.804</v>
      </c>
    </row>
    <row r="25" spans="8:8">
      <c r="A25" s="31"/>
      <c r="B25" s="37" t="s">
        <v>66</v>
      </c>
      <c r="C25" s="33"/>
      <c r="D25" s="34">
        <f>D26+D27+D28+D29</f>
        <v>15.350000000000001</v>
      </c>
      <c r="E25" s="34">
        <f>E26+E27+E28+E29</f>
        <v>11.950000000000001</v>
      </c>
      <c r="F25" s="34">
        <f>F26+F27+F28+F29</f>
        <v>108.09</v>
      </c>
      <c r="G25" s="34">
        <f>G26+G27+G28+G29</f>
        <v>627.666</v>
      </c>
      <c r="H25" s="34" t="e">
        <f>H26+H27+H28+H29+#REF!</f>
        <v>#REF!</v>
      </c>
      <c r="I25" s="34" t="e">
        <f>I26+I27+I28+I29+#REF!</f>
        <v>#REF!</v>
      </c>
      <c r="J25" s="34" t="e">
        <f>J26+J27+J28+J29+#REF!</f>
        <v>#REF!</v>
      </c>
      <c r="K25" s="34" t="e">
        <f>K26+K27+K28+K29+#REF!</f>
        <v>#REF!</v>
      </c>
      <c r="L25" s="34" t="e">
        <f>L26+L27+L28+L29+#REF!</f>
        <v>#REF!</v>
      </c>
      <c r="M25" s="34" t="e">
        <f>M26+M27+M28+M29+#REF!</f>
        <v>#REF!</v>
      </c>
      <c r="N25" s="34" t="e">
        <f>N26+N27+N28+N29+#REF!</f>
        <v>#REF!</v>
      </c>
      <c r="O25" s="35" t="e">
        <f>O26+O27+O28+O29+#REF!</f>
        <v>#REF!</v>
      </c>
      <c r="P25" s="2">
        <f t="shared" si="2"/>
        <v>625.9979999999999</v>
      </c>
      <c r="Q25" s="2">
        <v>470.0</v>
      </c>
    </row>
    <row r="26" spans="8:8" ht="24.0">
      <c r="A26" s="76" t="s">
        <v>161</v>
      </c>
      <c r="B26" s="77" t="s">
        <v>184</v>
      </c>
      <c r="C26" s="48">
        <v>205.0</v>
      </c>
      <c r="D26" s="78">
        <f>7.81</f>
        <v>7.81</v>
      </c>
      <c r="E26" s="78">
        <f>4.55</f>
        <v>4.55</v>
      </c>
      <c r="F26" s="78">
        <f>33.47</f>
        <v>33.47</v>
      </c>
      <c r="G26" s="78">
        <v>214.326</v>
      </c>
      <c r="H26" s="54">
        <v>0.04</v>
      </c>
      <c r="I26" s="54">
        <v>15.0</v>
      </c>
      <c r="J26" s="54"/>
      <c r="K26" s="54">
        <v>8.4</v>
      </c>
      <c r="L26" s="54"/>
      <c r="M26" s="54"/>
      <c r="N26" s="54">
        <v>0.54</v>
      </c>
      <c r="O26" s="79">
        <v>10.9</v>
      </c>
      <c r="P26" s="2">
        <f t="shared" si="2"/>
        <v>214.32600000000002</v>
      </c>
    </row>
    <row r="27" spans="8:8">
      <c r="A27" s="80"/>
      <c r="B27" s="47" t="s">
        <v>62</v>
      </c>
      <c r="C27" s="48">
        <v>60.0</v>
      </c>
      <c r="D27" s="49">
        <f>1.5*3</f>
        <v>4.5</v>
      </c>
      <c r="E27" s="50">
        <f>2.36*3</f>
        <v>7.08</v>
      </c>
      <c r="F27" s="49">
        <f>14.98*3</f>
        <v>44.94</v>
      </c>
      <c r="G27" s="49">
        <f>91*3</f>
        <v>273.0</v>
      </c>
      <c r="H27" s="54">
        <v>0.46</v>
      </c>
      <c r="I27" s="54">
        <v>1.78</v>
      </c>
      <c r="J27" s="54"/>
      <c r="K27" s="54">
        <v>10.16</v>
      </c>
      <c r="L27" s="54">
        <v>8.54</v>
      </c>
      <c r="M27" s="54">
        <v>1.88</v>
      </c>
      <c r="N27" s="54">
        <v>1.14</v>
      </c>
      <c r="O27" s="2">
        <v>33.0</v>
      </c>
      <c r="P27" s="2">
        <f t="shared" si="2"/>
        <v>271.368</v>
      </c>
    </row>
    <row r="28" spans="8:8">
      <c r="A28" s="80" t="s">
        <v>163</v>
      </c>
      <c r="B28" s="43" t="s">
        <v>10</v>
      </c>
      <c r="C28" s="48">
        <v>200.0</v>
      </c>
      <c r="D28" s="49">
        <v>0.0</v>
      </c>
      <c r="E28" s="49">
        <v>0.0</v>
      </c>
      <c r="F28" s="49">
        <v>10.0</v>
      </c>
      <c r="G28" s="49">
        <v>42.0</v>
      </c>
      <c r="H28" s="54">
        <v>0.19</v>
      </c>
      <c r="I28" s="54">
        <v>31.07</v>
      </c>
      <c r="J28" s="54">
        <v>25.2</v>
      </c>
      <c r="K28" s="54">
        <v>49.59</v>
      </c>
      <c r="L28" s="54">
        <v>91.3</v>
      </c>
      <c r="M28" s="54">
        <v>35.39</v>
      </c>
      <c r="N28" s="54">
        <v>1.43</v>
      </c>
      <c r="O28" s="2">
        <v>23.0</v>
      </c>
      <c r="P28" s="2">
        <f t="shared" si="2"/>
        <v>42.0</v>
      </c>
    </row>
    <row r="29" spans="8:8">
      <c r="A29" s="81"/>
      <c r="B29" s="43" t="s">
        <v>11</v>
      </c>
      <c r="C29" s="48">
        <v>40.0</v>
      </c>
      <c r="D29" s="49">
        <v>3.04</v>
      </c>
      <c r="E29" s="50">
        <v>0.32</v>
      </c>
      <c r="F29" s="49">
        <v>19.68</v>
      </c>
      <c r="G29" s="49">
        <v>98.34</v>
      </c>
      <c r="H29" s="82">
        <v>0.01</v>
      </c>
      <c r="I29" s="82">
        <v>0.58</v>
      </c>
      <c r="J29" s="83"/>
      <c r="K29" s="82">
        <v>17.31</v>
      </c>
      <c r="L29" s="83"/>
      <c r="M29" s="83"/>
      <c r="N29" s="82">
        <v>0.65</v>
      </c>
      <c r="O29" s="2">
        <v>7.0</v>
      </c>
      <c r="P29" s="2">
        <f t="shared" si="2"/>
        <v>98.304</v>
      </c>
    </row>
    <row r="30" spans="8:8">
      <c r="A30" s="44"/>
      <c r="B30" s="47"/>
      <c r="C30" s="84">
        <f>SUM(C26:C29)</f>
        <v>505.0</v>
      </c>
      <c r="D30" s="49"/>
      <c r="E30" s="46"/>
      <c r="F30" s="49"/>
      <c r="G30" s="49"/>
      <c r="H30" s="30"/>
      <c r="I30" s="25"/>
      <c r="J30" s="25"/>
      <c r="K30" s="54"/>
      <c r="L30" s="25"/>
      <c r="M30" s="25"/>
      <c r="N30" s="30"/>
      <c r="P30" s="2">
        <f t="shared" si="2"/>
        <v>0.0</v>
      </c>
    </row>
    <row r="31" spans="8:8">
      <c r="A31" s="85"/>
      <c r="B31" s="67" t="s">
        <v>67</v>
      </c>
      <c r="C31" s="68"/>
      <c r="D31" s="86">
        <f>D32+D33+D34+D35+D36+D37</f>
        <v>25.11</v>
      </c>
      <c r="E31" s="86">
        <f>E32+E33+E34+E35+E36+E37</f>
        <v>31.12</v>
      </c>
      <c r="F31" s="86">
        <f>F32+F33+F34+F35+F36+F37</f>
        <v>87.92</v>
      </c>
      <c r="G31" s="86">
        <f>G32+G33+G34+G35+G36+G37</f>
        <v>756.04</v>
      </c>
      <c r="H31" s="86">
        <f t="shared" si="5" ref="H31:O31">H32+H33+H34+H35+H36+H37</f>
        <v>0.669</v>
      </c>
      <c r="I31" s="86">
        <f t="shared" si="5"/>
        <v>28.21</v>
      </c>
      <c r="J31" s="86">
        <f t="shared" si="5"/>
        <v>0.9</v>
      </c>
      <c r="K31" s="86">
        <f t="shared" si="5"/>
        <v>162.12</v>
      </c>
      <c r="L31" s="86">
        <f t="shared" si="5"/>
        <v>361.56</v>
      </c>
      <c r="M31" s="86">
        <f t="shared" si="5"/>
        <v>128.26999999999998</v>
      </c>
      <c r="N31" s="86">
        <f t="shared" si="5"/>
        <v>8.6</v>
      </c>
      <c r="O31" s="87">
        <f t="shared" si="5"/>
        <v>78.0</v>
      </c>
      <c r="P31" s="2">
        <f>(D31+F31)*4.2+E31*9</f>
        <v>754.806</v>
      </c>
      <c r="Q31" s="2">
        <v>705.0</v>
      </c>
    </row>
    <row r="32" spans="8:8">
      <c r="A32" s="44" t="s">
        <v>68</v>
      </c>
      <c r="B32" s="88" t="s">
        <v>69</v>
      </c>
      <c r="C32" s="74">
        <v>60.0</v>
      </c>
      <c r="D32" s="89">
        <v>0.84</v>
      </c>
      <c r="E32" s="46">
        <v>3.06</v>
      </c>
      <c r="F32" s="46">
        <v>6.83</v>
      </c>
      <c r="G32" s="46">
        <v>59.75</v>
      </c>
      <c r="H32" s="46">
        <v>0.02</v>
      </c>
      <c r="I32" s="46">
        <v>2.53</v>
      </c>
      <c r="J32" s="46"/>
      <c r="K32" s="46">
        <v>27.92</v>
      </c>
      <c r="L32" s="46">
        <v>36.55</v>
      </c>
      <c r="M32" s="46">
        <v>19.35</v>
      </c>
      <c r="N32" s="46">
        <v>0.6</v>
      </c>
      <c r="O32" s="72">
        <v>10.8</v>
      </c>
      <c r="P32" s="2">
        <f t="shared" si="2"/>
        <v>59.754</v>
      </c>
    </row>
    <row r="33" spans="8:8">
      <c r="A33" s="90" t="s">
        <v>166</v>
      </c>
      <c r="B33" s="43" t="s">
        <v>158</v>
      </c>
      <c r="C33" s="48">
        <v>200.0</v>
      </c>
      <c r="D33" s="49">
        <f>2.57-0.86</f>
        <v>1.71</v>
      </c>
      <c r="E33" s="49">
        <f>9.24-0.84</f>
        <v>8.4</v>
      </c>
      <c r="F33" s="49">
        <f>18.04-0.09</f>
        <v>17.95</v>
      </c>
      <c r="G33" s="49">
        <v>158.72</v>
      </c>
      <c r="H33" s="49" t="s">
        <v>76</v>
      </c>
      <c r="I33" s="49" t="s">
        <v>77</v>
      </c>
      <c r="J33" s="50"/>
      <c r="K33" s="49" t="s">
        <v>78</v>
      </c>
      <c r="L33" s="49" t="s">
        <v>79</v>
      </c>
      <c r="M33" s="49" t="s">
        <v>80</v>
      </c>
      <c r="N33" s="49" t="s">
        <v>81</v>
      </c>
      <c r="O33" s="2">
        <v>11.2</v>
      </c>
      <c r="P33" s="2">
        <f t="shared" si="2"/>
        <v>158.172</v>
      </c>
    </row>
    <row r="34" spans="8:8">
      <c r="A34" s="91" t="s">
        <v>43</v>
      </c>
      <c r="B34" s="43" t="s">
        <v>65</v>
      </c>
      <c r="C34" s="48">
        <v>100.0</v>
      </c>
      <c r="D34" s="49">
        <v>14.25</v>
      </c>
      <c r="E34" s="49">
        <v>16.66</v>
      </c>
      <c r="F34" s="49">
        <v>5.27</v>
      </c>
      <c r="G34" s="49">
        <v>232.0</v>
      </c>
      <c r="H34" s="48">
        <v>0.06</v>
      </c>
      <c r="I34" s="48">
        <v>2.82</v>
      </c>
      <c r="J34" s="74"/>
      <c r="K34" s="48">
        <v>14.58</v>
      </c>
      <c r="L34" s="48">
        <v>25.31</v>
      </c>
      <c r="M34" s="48">
        <v>6.62</v>
      </c>
      <c r="N34" s="48">
        <v>1.51</v>
      </c>
      <c r="O34" s="2">
        <v>38.0</v>
      </c>
      <c r="P34" s="2">
        <f t="shared" si="2"/>
        <v>231.92399999999998</v>
      </c>
    </row>
    <row r="35" spans="8:8">
      <c r="A35" s="44" t="s">
        <v>33</v>
      </c>
      <c r="B35" s="43" t="s">
        <v>12</v>
      </c>
      <c r="C35" s="92">
        <v>150.0</v>
      </c>
      <c r="D35" s="49">
        <v>5.64</v>
      </c>
      <c r="E35" s="46">
        <v>2.84</v>
      </c>
      <c r="F35" s="49">
        <v>36.0</v>
      </c>
      <c r="G35" s="49">
        <v>201.0</v>
      </c>
      <c r="H35" s="30">
        <v>0.44</v>
      </c>
      <c r="I35" s="25"/>
      <c r="J35" s="25">
        <v>0.9</v>
      </c>
      <c r="K35" s="54">
        <v>78.0</v>
      </c>
      <c r="L35" s="25">
        <v>215.0</v>
      </c>
      <c r="M35" s="25">
        <v>70.0</v>
      </c>
      <c r="N35" s="30">
        <v>4.45</v>
      </c>
      <c r="O35" s="2">
        <v>10.0</v>
      </c>
      <c r="P35" s="2">
        <f t="shared" si="2"/>
        <v>200.448</v>
      </c>
    </row>
    <row r="36" spans="8:8" customHeight="1">
      <c r="A36" s="93" t="s">
        <v>42</v>
      </c>
      <c r="B36" s="94" t="s">
        <v>201</v>
      </c>
      <c r="C36" s="48">
        <v>200.0</v>
      </c>
      <c r="D36" s="49">
        <v>1.15</v>
      </c>
      <c r="E36" s="50"/>
      <c r="F36" s="49">
        <v>12.03</v>
      </c>
      <c r="G36" s="49">
        <v>55.4</v>
      </c>
      <c r="H36" s="82">
        <v>0.009</v>
      </c>
      <c r="I36" s="82">
        <v>1.52</v>
      </c>
      <c r="J36" s="83"/>
      <c r="K36" s="82">
        <v>3.57</v>
      </c>
      <c r="L36" s="82">
        <v>0.66</v>
      </c>
      <c r="M36" s="82">
        <v>0.22</v>
      </c>
      <c r="N36" s="82">
        <v>0.34</v>
      </c>
      <c r="O36" s="2">
        <v>5.0</v>
      </c>
      <c r="P36" s="2">
        <f t="shared" si="2"/>
        <v>55.356</v>
      </c>
    </row>
    <row r="37" spans="8:8">
      <c r="A37" s="44"/>
      <c r="B37" s="43" t="s">
        <v>11</v>
      </c>
      <c r="C37" s="29">
        <v>20.0</v>
      </c>
      <c r="D37" s="49">
        <v>1.52</v>
      </c>
      <c r="E37" s="46">
        <v>0.16</v>
      </c>
      <c r="F37" s="49">
        <v>9.84</v>
      </c>
      <c r="G37" s="49">
        <v>49.17</v>
      </c>
      <c r="H37" s="46">
        <v>0.04</v>
      </c>
      <c r="I37" s="50"/>
      <c r="J37" s="50"/>
      <c r="K37" s="49">
        <v>7.25</v>
      </c>
      <c r="L37" s="50">
        <v>32.5</v>
      </c>
      <c r="M37" s="50">
        <v>10.5</v>
      </c>
      <c r="N37" s="46">
        <v>0.9</v>
      </c>
      <c r="O37" s="2">
        <v>3.0</v>
      </c>
      <c r="P37" s="2">
        <f t="shared" si="2"/>
        <v>49.152</v>
      </c>
    </row>
    <row r="38" spans="8:8">
      <c r="A38" s="44"/>
      <c r="B38" s="47"/>
      <c r="C38" s="84">
        <f>SUM(C32:C37)</f>
        <v>730.0</v>
      </c>
      <c r="D38" s="49"/>
      <c r="E38" s="46"/>
      <c r="F38" s="49"/>
      <c r="G38" s="49"/>
      <c r="H38" s="30"/>
      <c r="I38" s="25"/>
      <c r="J38" s="25"/>
      <c r="K38" s="54"/>
      <c r="L38" s="25"/>
      <c r="M38" s="25"/>
      <c r="N38" s="30"/>
      <c r="P38" s="2">
        <f t="shared" si="2"/>
        <v>0.0</v>
      </c>
    </row>
    <row r="39" spans="8:8">
      <c r="A39" s="31" t="s">
        <v>5</v>
      </c>
      <c r="B39" s="32" t="s">
        <v>13</v>
      </c>
      <c r="C39" s="33"/>
      <c r="D39" s="34">
        <f>D40+D46</f>
        <v>37.39</v>
      </c>
      <c r="E39" s="34">
        <f t="shared" si="6" ref="E39:O39">E40+E46</f>
        <v>31.92</v>
      </c>
      <c r="F39" s="34">
        <f t="shared" si="6"/>
        <v>194.06</v>
      </c>
      <c r="G39" s="34">
        <f>G40+G46</f>
        <v>1260.74</v>
      </c>
      <c r="H39" s="34">
        <f t="shared" si="6"/>
        <v>0.62</v>
      </c>
      <c r="I39" s="34">
        <f t="shared" si="6"/>
        <v>35.22</v>
      </c>
      <c r="J39" s="34">
        <f t="shared" si="6"/>
        <v>596.4</v>
      </c>
      <c r="K39" s="34">
        <f t="shared" si="6"/>
        <v>182.93</v>
      </c>
      <c r="L39" s="34">
        <f t="shared" si="6"/>
        <v>512.99</v>
      </c>
      <c r="M39" s="34">
        <f t="shared" si="6"/>
        <v>219.58999999999997</v>
      </c>
      <c r="N39" s="34">
        <f t="shared" si="6"/>
        <v>11.260000000000002</v>
      </c>
      <c r="O39" s="35">
        <f t="shared" si="6"/>
        <v>151.89999999999998</v>
      </c>
      <c r="P39" s="2">
        <f t="shared" si="2"/>
        <v>1259.37</v>
      </c>
    </row>
    <row r="40" spans="8:8">
      <c r="A40" s="31"/>
      <c r="B40" s="37" t="s">
        <v>66</v>
      </c>
      <c r="C40" s="33"/>
      <c r="D40" s="34">
        <f>D41+D42+D43+D44</f>
        <v>12.920000000000002</v>
      </c>
      <c r="E40" s="34">
        <f>E41+E42+E43+E44</f>
        <v>8.42</v>
      </c>
      <c r="F40" s="34">
        <f>F41+F42+F43+F44</f>
        <v>96.58000000000001</v>
      </c>
      <c r="G40" s="34">
        <f>G41+G42+G43+G44</f>
        <v>535.54</v>
      </c>
      <c r="H40" s="34">
        <f t="shared" si="7" ref="H40:O40">H41+H42+H43+H44</f>
        <v>0.1</v>
      </c>
      <c r="I40" s="34">
        <f t="shared" si="7"/>
        <v>16.39</v>
      </c>
      <c r="J40" s="34">
        <f t="shared" si="7"/>
        <v>40.0</v>
      </c>
      <c r="K40" s="34">
        <f t="shared" si="7"/>
        <v>72.97</v>
      </c>
      <c r="L40" s="34">
        <f t="shared" si="7"/>
        <v>29.5</v>
      </c>
      <c r="M40" s="34">
        <f t="shared" si="7"/>
        <v>5.7</v>
      </c>
      <c r="N40" s="34">
        <f t="shared" si="7"/>
        <v>4.07</v>
      </c>
      <c r="O40" s="35">
        <f t="shared" si="7"/>
        <v>79.3</v>
      </c>
      <c r="P40" s="2">
        <f t="shared" si="2"/>
        <v>535.68</v>
      </c>
      <c r="Q40" s="2">
        <v>470.0</v>
      </c>
    </row>
    <row r="41" spans="8:8">
      <c r="A41" s="95"/>
      <c r="B41" s="96" t="s">
        <v>41</v>
      </c>
      <c r="C41" s="97">
        <v>100.0</v>
      </c>
      <c r="D41" s="98">
        <v>0.4</v>
      </c>
      <c r="E41" s="98">
        <v>0.0</v>
      </c>
      <c r="F41" s="98">
        <v>9.8</v>
      </c>
      <c r="G41" s="98">
        <v>42.84</v>
      </c>
      <c r="H41" s="25">
        <v>0.01</v>
      </c>
      <c r="I41" s="25">
        <v>0.39</v>
      </c>
      <c r="J41" s="25">
        <v>40.0</v>
      </c>
      <c r="K41" s="25">
        <v>38.9</v>
      </c>
      <c r="L41" s="25">
        <v>3.5</v>
      </c>
      <c r="M41" s="25">
        <v>0.1</v>
      </c>
      <c r="N41" s="25">
        <v>0.07</v>
      </c>
      <c r="O41" s="2">
        <v>53.5</v>
      </c>
      <c r="P41" s="2">
        <f t="shared" si="2"/>
        <v>42.84</v>
      </c>
    </row>
    <row r="42" spans="8:8" ht="24.0">
      <c r="A42" s="74" t="s">
        <v>161</v>
      </c>
      <c r="B42" s="45" t="s">
        <v>186</v>
      </c>
      <c r="C42" s="48">
        <v>203.0</v>
      </c>
      <c r="D42" s="49">
        <v>8.48</v>
      </c>
      <c r="E42" s="49">
        <v>8.0</v>
      </c>
      <c r="F42" s="49">
        <v>36.1</v>
      </c>
      <c r="G42" s="49">
        <v>259.36</v>
      </c>
      <c r="H42" s="25"/>
      <c r="I42" s="25"/>
      <c r="J42" s="25"/>
      <c r="K42" s="54">
        <v>0.47</v>
      </c>
      <c r="L42" s="25"/>
      <c r="M42" s="25"/>
      <c r="N42" s="54">
        <v>0.04</v>
      </c>
      <c r="O42" s="2">
        <v>3.0</v>
      </c>
      <c r="P42" s="2">
        <f t="shared" si="2"/>
        <v>259.236</v>
      </c>
    </row>
    <row r="43" spans="8:8" ht="21.75" customHeight="1">
      <c r="A43" s="38" t="s">
        <v>42</v>
      </c>
      <c r="B43" s="99" t="s">
        <v>202</v>
      </c>
      <c r="C43" s="48">
        <v>200.0</v>
      </c>
      <c r="D43" s="49">
        <v>1.0</v>
      </c>
      <c r="E43" s="49">
        <v>0.1</v>
      </c>
      <c r="F43" s="49">
        <v>31.0</v>
      </c>
      <c r="G43" s="49">
        <v>135.0</v>
      </c>
      <c r="H43" s="30">
        <v>0.04</v>
      </c>
      <c r="I43" s="25"/>
      <c r="J43" s="25"/>
      <c r="K43" s="54">
        <v>8.0</v>
      </c>
      <c r="L43" s="25">
        <v>26.0</v>
      </c>
      <c r="M43" s="25">
        <v>5.6</v>
      </c>
      <c r="N43" s="30">
        <v>0.44</v>
      </c>
      <c r="O43" s="2">
        <v>2.8</v>
      </c>
      <c r="P43" s="2">
        <f t="shared" si="2"/>
        <v>135.3</v>
      </c>
    </row>
    <row r="44" spans="8:8">
      <c r="A44" s="57"/>
      <c r="B44" s="43" t="s">
        <v>11</v>
      </c>
      <c r="C44" s="48">
        <v>40.0</v>
      </c>
      <c r="D44" s="49">
        <v>3.04</v>
      </c>
      <c r="E44" s="50">
        <v>0.32</v>
      </c>
      <c r="F44" s="49">
        <v>19.68</v>
      </c>
      <c r="G44" s="49">
        <v>98.34</v>
      </c>
      <c r="H44" s="62">
        <v>0.05</v>
      </c>
      <c r="I44" s="63">
        <v>16.0</v>
      </c>
      <c r="J44" s="64"/>
      <c r="K44" s="63">
        <v>25.6</v>
      </c>
      <c r="L44" s="64"/>
      <c r="M44" s="64"/>
      <c r="N44" s="63">
        <v>3.52</v>
      </c>
      <c r="O44" s="2">
        <v>20.0</v>
      </c>
      <c r="P44" s="2">
        <f t="shared" si="2"/>
        <v>98.304</v>
      </c>
    </row>
    <row r="45" spans="8:8">
      <c r="A45" s="38"/>
      <c r="B45" s="47"/>
      <c r="C45" s="100">
        <f>SUM(C41:C44)</f>
        <v>543.0</v>
      </c>
      <c r="D45" s="49"/>
      <c r="E45" s="46"/>
      <c r="F45" s="49"/>
      <c r="G45" s="49"/>
      <c r="H45" s="30"/>
      <c r="I45" s="25"/>
      <c r="J45" s="25"/>
      <c r="K45" s="54"/>
      <c r="L45" s="25"/>
      <c r="M45" s="25"/>
      <c r="N45" s="30"/>
      <c r="P45" s="2">
        <f t="shared" si="2"/>
        <v>0.0</v>
      </c>
    </row>
    <row r="46" spans="8:8">
      <c r="A46" s="38"/>
      <c r="B46" s="67" t="s">
        <v>67</v>
      </c>
      <c r="C46" s="68"/>
      <c r="D46" s="86">
        <f>D47+D48+D49+D50+D51+D52</f>
        <v>24.47</v>
      </c>
      <c r="E46" s="86">
        <f>E47+E48+E49+E50+E51+E52</f>
        <v>23.5</v>
      </c>
      <c r="F46" s="86">
        <f>F47+F48+F49+F50+F51+F52</f>
        <v>97.48</v>
      </c>
      <c r="G46" s="86">
        <f>G47+G48+G49+G50+G51+G52</f>
        <v>725.1999999999999</v>
      </c>
      <c r="H46" s="86">
        <f t="shared" si="8" ref="H46:O46">H47+H48+H49+H50+H51+H52</f>
        <v>0.52</v>
      </c>
      <c r="I46" s="86">
        <f t="shared" si="8"/>
        <v>18.83</v>
      </c>
      <c r="J46" s="86">
        <f t="shared" si="8"/>
        <v>556.4</v>
      </c>
      <c r="K46" s="86">
        <f t="shared" si="8"/>
        <v>109.96</v>
      </c>
      <c r="L46" s="86">
        <f t="shared" si="8"/>
        <v>483.49</v>
      </c>
      <c r="M46" s="86">
        <f t="shared" si="8"/>
        <v>213.89</v>
      </c>
      <c r="N46" s="86">
        <f t="shared" si="8"/>
        <v>7.19</v>
      </c>
      <c r="O46" s="87">
        <f t="shared" si="8"/>
        <v>72.6</v>
      </c>
      <c r="P46" s="2">
        <f t="shared" si="2"/>
        <v>723.69</v>
      </c>
      <c r="Q46" s="2">
        <v>705.0</v>
      </c>
    </row>
    <row r="47" spans="8:8">
      <c r="A47" s="70" t="s">
        <v>82</v>
      </c>
      <c r="B47" s="43" t="s">
        <v>83</v>
      </c>
      <c r="C47" s="71">
        <v>60.0</v>
      </c>
      <c r="D47" s="49">
        <v>1.21</v>
      </c>
      <c r="E47" s="49">
        <v>6.2</v>
      </c>
      <c r="F47" s="49">
        <v>12.33</v>
      </c>
      <c r="G47" s="49">
        <v>113.0</v>
      </c>
      <c r="H47" s="46">
        <v>0.02</v>
      </c>
      <c r="I47" s="46">
        <v>2.3</v>
      </c>
      <c r="J47" s="46">
        <v>443.0</v>
      </c>
      <c r="K47" s="46">
        <v>14.0</v>
      </c>
      <c r="L47" s="46">
        <v>28.0</v>
      </c>
      <c r="M47" s="46">
        <v>17.0</v>
      </c>
      <c r="N47" s="46">
        <v>0.45</v>
      </c>
      <c r="O47" s="2">
        <v>9.2</v>
      </c>
      <c r="P47" s="2">
        <f t="shared" si="2"/>
        <v>112.668</v>
      </c>
    </row>
    <row r="48" spans="8:8">
      <c r="A48" s="101" t="s">
        <v>117</v>
      </c>
      <c r="B48" s="45" t="s">
        <v>189</v>
      </c>
      <c r="C48" s="29">
        <v>200.0</v>
      </c>
      <c r="D48" s="46">
        <f>2.64-0.99</f>
        <v>1.6500000000000001</v>
      </c>
      <c r="E48" s="46">
        <f>3.56-1.59</f>
        <v>1.97</v>
      </c>
      <c r="F48" s="46">
        <f>11.76-0.27</f>
        <v>11.49</v>
      </c>
      <c r="G48" s="46">
        <f>93-19.32</f>
        <v>73.68</v>
      </c>
      <c r="H48" s="46" t="s">
        <v>84</v>
      </c>
      <c r="I48" s="46" t="s">
        <v>85</v>
      </c>
      <c r="J48" s="50"/>
      <c r="K48" s="46" t="s">
        <v>86</v>
      </c>
      <c r="L48" s="46" t="s">
        <v>87</v>
      </c>
      <c r="M48" s="46" t="s">
        <v>88</v>
      </c>
      <c r="N48" s="46" t="s">
        <v>89</v>
      </c>
      <c r="O48" s="2">
        <v>5.6</v>
      </c>
      <c r="P48" s="2">
        <f t="shared" si="2"/>
        <v>72.918</v>
      </c>
    </row>
    <row r="49" spans="8:8">
      <c r="A49" s="102" t="s">
        <v>131</v>
      </c>
      <c r="B49" s="43" t="s">
        <v>141</v>
      </c>
      <c r="C49" s="48">
        <v>90.0</v>
      </c>
      <c r="D49" s="49">
        <v>11.84</v>
      </c>
      <c r="E49" s="49">
        <v>10.06</v>
      </c>
      <c r="F49" s="49">
        <v>16.03</v>
      </c>
      <c r="G49" s="49">
        <v>208.0</v>
      </c>
      <c r="H49" s="25">
        <v>0.1</v>
      </c>
      <c r="I49" s="25">
        <v>6.03</v>
      </c>
      <c r="J49" s="25">
        <v>92.4</v>
      </c>
      <c r="K49" s="25">
        <v>52.89</v>
      </c>
      <c r="L49" s="25">
        <v>193.68</v>
      </c>
      <c r="M49" s="25">
        <v>44.45</v>
      </c>
      <c r="N49" s="25">
        <v>1.01</v>
      </c>
      <c r="O49" s="2">
        <v>35.0</v>
      </c>
      <c r="P49" s="2">
        <f t="shared" si="2"/>
        <v>207.594</v>
      </c>
    </row>
    <row r="50" spans="8:8">
      <c r="A50" s="75" t="s">
        <v>38</v>
      </c>
      <c r="B50" s="45" t="s">
        <v>36</v>
      </c>
      <c r="C50" s="48">
        <v>150.0</v>
      </c>
      <c r="D50" s="49">
        <v>8.77</v>
      </c>
      <c r="E50" s="49">
        <v>5.19</v>
      </c>
      <c r="F50" s="49">
        <v>39.63</v>
      </c>
      <c r="G50" s="49">
        <v>250.0</v>
      </c>
      <c r="H50" s="48">
        <v>0.3</v>
      </c>
      <c r="I50" s="74"/>
      <c r="J50" s="48">
        <v>21.0</v>
      </c>
      <c r="K50" s="48">
        <v>15.38</v>
      </c>
      <c r="L50" s="48">
        <v>208.35</v>
      </c>
      <c r="M50" s="48">
        <v>138.65</v>
      </c>
      <c r="N50" s="48">
        <v>4.66</v>
      </c>
      <c r="O50" s="2">
        <v>13.0</v>
      </c>
      <c r="P50" s="2">
        <f t="shared" si="2"/>
        <v>249.99</v>
      </c>
    </row>
    <row r="51" spans="8:8">
      <c r="A51" s="103" t="s">
        <v>163</v>
      </c>
      <c r="B51" s="43" t="s">
        <v>10</v>
      </c>
      <c r="C51" s="29">
        <v>200.0</v>
      </c>
      <c r="D51" s="49">
        <v>0.0</v>
      </c>
      <c r="E51" s="50">
        <v>0.0</v>
      </c>
      <c r="F51" s="49">
        <v>10.0</v>
      </c>
      <c r="G51" s="46">
        <v>42.0</v>
      </c>
      <c r="H51" s="46" t="s">
        <v>91</v>
      </c>
      <c r="I51" s="49" t="s">
        <v>92</v>
      </c>
      <c r="J51" s="50"/>
      <c r="K51" s="49" t="s">
        <v>93</v>
      </c>
      <c r="L51" s="50"/>
      <c r="M51" s="50"/>
      <c r="N51" s="46" t="s">
        <v>94</v>
      </c>
      <c r="O51" s="2">
        <v>7.0</v>
      </c>
      <c r="P51" s="2">
        <f t="shared" si="2"/>
        <v>42.0</v>
      </c>
    </row>
    <row r="52" spans="8:8">
      <c r="A52" s="38"/>
      <c r="B52" s="43" t="s">
        <v>37</v>
      </c>
      <c r="C52" s="29">
        <v>20.0</v>
      </c>
      <c r="D52" s="49">
        <v>1.0</v>
      </c>
      <c r="E52" s="46">
        <v>0.08</v>
      </c>
      <c r="F52" s="49">
        <v>8.0</v>
      </c>
      <c r="G52" s="49">
        <v>38.52</v>
      </c>
      <c r="H52" s="29">
        <v>0.04</v>
      </c>
      <c r="I52" s="74"/>
      <c r="J52" s="74"/>
      <c r="K52" s="48">
        <v>8.0</v>
      </c>
      <c r="L52" s="74">
        <v>26.0</v>
      </c>
      <c r="M52" s="74">
        <v>5.6</v>
      </c>
      <c r="N52" s="29">
        <v>0.44</v>
      </c>
      <c r="O52" s="2">
        <v>2.8</v>
      </c>
      <c r="P52" s="2">
        <f t="shared" si="2"/>
        <v>38.519999999999996</v>
      </c>
    </row>
    <row r="53" spans="8:8">
      <c r="A53" s="38"/>
      <c r="B53" s="104"/>
      <c r="C53" s="105">
        <f>SUM(C47:C52)</f>
        <v>720.0</v>
      </c>
      <c r="D53" s="49"/>
      <c r="E53" s="46"/>
      <c r="F53" s="49"/>
      <c r="G53" s="49"/>
      <c r="H53" s="29"/>
      <c r="I53" s="74"/>
      <c r="J53" s="74"/>
      <c r="K53" s="48"/>
      <c r="L53" s="74"/>
      <c r="M53" s="74"/>
      <c r="N53" s="29"/>
      <c r="P53" s="2">
        <f t="shared" si="2"/>
        <v>0.0</v>
      </c>
    </row>
    <row r="54" spans="8:8">
      <c r="A54" s="38"/>
      <c r="B54" s="47"/>
      <c r="C54" s="100"/>
      <c r="D54" s="49"/>
      <c r="E54" s="46"/>
      <c r="F54" s="49"/>
      <c r="G54" s="49"/>
      <c r="H54" s="30"/>
      <c r="I54" s="25"/>
      <c r="J54" s="25"/>
      <c r="K54" s="54"/>
      <c r="L54" s="25"/>
      <c r="M54" s="25"/>
      <c r="N54" s="30"/>
      <c r="P54" s="2">
        <f t="shared" si="2"/>
        <v>0.0</v>
      </c>
    </row>
    <row r="55" spans="8:8">
      <c r="A55" s="36" t="s">
        <v>27</v>
      </c>
      <c r="B55" s="37" t="s">
        <v>13</v>
      </c>
      <c r="C55" s="33"/>
      <c r="D55" s="86">
        <f t="shared" si="9" ref="D55:O55">D56+D62</f>
        <v>42.49</v>
      </c>
      <c r="E55" s="86">
        <f t="shared" si="9"/>
        <v>37.019999999999996</v>
      </c>
      <c r="F55" s="86">
        <f t="shared" si="9"/>
        <v>181.36</v>
      </c>
      <c r="G55" s="86">
        <f t="shared" si="9"/>
        <v>1273.79</v>
      </c>
      <c r="H55" s="86" t="e">
        <f t="shared" si="9"/>
        <v>#REF!</v>
      </c>
      <c r="I55" s="86" t="e">
        <f t="shared" si="9"/>
        <v>#REF!</v>
      </c>
      <c r="J55" s="86" t="e">
        <f t="shared" si="9"/>
        <v>#REF!</v>
      </c>
      <c r="K55" s="86" t="e">
        <f t="shared" si="9"/>
        <v>#REF!</v>
      </c>
      <c r="L55" s="86" t="e">
        <f t="shared" si="9"/>
        <v>#REF!</v>
      </c>
      <c r="M55" s="86" t="e">
        <f t="shared" si="9"/>
        <v>#REF!</v>
      </c>
      <c r="N55" s="86" t="e">
        <f t="shared" si="9"/>
        <v>#REF!</v>
      </c>
      <c r="O55" s="87" t="e">
        <f t="shared" si="9"/>
        <v>#REF!</v>
      </c>
      <c r="P55" s="2">
        <f t="shared" si="2"/>
        <v>1273.35</v>
      </c>
    </row>
    <row r="56" spans="8:8">
      <c r="A56" s="36"/>
      <c r="B56" s="37" t="s">
        <v>66</v>
      </c>
      <c r="C56" s="33"/>
      <c r="D56" s="86">
        <f>D57+D58+D59+D60</f>
        <v>15.21</v>
      </c>
      <c r="E56" s="86">
        <f>E57+E58+E59+E60</f>
        <v>8.36</v>
      </c>
      <c r="F56" s="86">
        <f>F57+F58+F59+F60</f>
        <v>102.05000000000001</v>
      </c>
      <c r="G56" s="86">
        <f>G57+G58+G59+G60</f>
        <v>567.83</v>
      </c>
      <c r="H56" s="86">
        <f t="shared" si="10" ref="H56:O56">H57+H58+H59+H60</f>
        <v>0.28900000000000003</v>
      </c>
      <c r="I56" s="86">
        <f t="shared" si="10"/>
        <v>2.12</v>
      </c>
      <c r="J56" s="86">
        <f t="shared" si="10"/>
        <v>25.2</v>
      </c>
      <c r="K56" s="86">
        <f t="shared" si="10"/>
        <v>52.03</v>
      </c>
      <c r="L56" s="86">
        <f t="shared" si="10"/>
        <v>146.85</v>
      </c>
      <c r="M56" s="86">
        <f t="shared" si="10"/>
        <v>38.21</v>
      </c>
      <c r="N56" s="86">
        <f t="shared" si="10"/>
        <v>4.79</v>
      </c>
      <c r="O56" s="87">
        <f t="shared" si="10"/>
        <v>76.6</v>
      </c>
      <c r="P56" s="2">
        <f t="shared" si="2"/>
        <v>567.732</v>
      </c>
    </row>
    <row r="57" spans="8:8">
      <c r="A57" s="106" t="s">
        <v>179</v>
      </c>
      <c r="B57" s="43" t="s">
        <v>177</v>
      </c>
      <c r="C57" s="48">
        <v>60.0</v>
      </c>
      <c r="D57" s="49">
        <v>4.91</v>
      </c>
      <c r="E57" s="49">
        <v>3.79</v>
      </c>
      <c r="F57" s="49">
        <v>36.09</v>
      </c>
      <c r="G57" s="49">
        <v>206.31</v>
      </c>
      <c r="H57" s="54">
        <v>0.08</v>
      </c>
      <c r="I57" s="54">
        <v>0.6</v>
      </c>
      <c r="J57" s="25"/>
      <c r="K57" s="54">
        <v>17.6</v>
      </c>
      <c r="L57" s="54">
        <v>13.35</v>
      </c>
      <c r="M57" s="54">
        <v>2.94</v>
      </c>
      <c r="N57" s="54">
        <v>2.26</v>
      </c>
      <c r="O57" s="2">
        <v>59.0</v>
      </c>
      <c r="P57" s="2">
        <f t="shared" si="2"/>
        <v>206.31</v>
      </c>
    </row>
    <row r="58" spans="8:8" ht="24.0">
      <c r="A58" s="74" t="s">
        <v>161</v>
      </c>
      <c r="B58" s="45" t="s">
        <v>185</v>
      </c>
      <c r="C58" s="48">
        <v>203.0</v>
      </c>
      <c r="D58" s="49">
        <f>7.26</f>
        <v>7.26</v>
      </c>
      <c r="E58" s="49">
        <f>4.25</f>
        <v>4.25</v>
      </c>
      <c r="F58" s="49">
        <f>36.28</f>
        <v>36.28</v>
      </c>
      <c r="G58" s="49">
        <v>221.18</v>
      </c>
      <c r="H58" s="54">
        <v>0.1</v>
      </c>
      <c r="I58" s="25"/>
      <c r="J58" s="54">
        <v>25.2</v>
      </c>
      <c r="K58" s="54">
        <v>13.46</v>
      </c>
      <c r="L58" s="54">
        <v>54.84</v>
      </c>
      <c r="M58" s="54">
        <v>9.85</v>
      </c>
      <c r="N58" s="54">
        <v>0.03</v>
      </c>
      <c r="O58" s="2">
        <v>9.6</v>
      </c>
      <c r="P58" s="2">
        <f t="shared" si="2"/>
        <v>221.118</v>
      </c>
    </row>
    <row r="59" spans="8:8">
      <c r="A59" s="93" t="s">
        <v>163</v>
      </c>
      <c r="B59" s="94" t="s">
        <v>10</v>
      </c>
      <c r="C59" s="48">
        <v>200.0</v>
      </c>
      <c r="D59" s="49">
        <v>0.0</v>
      </c>
      <c r="E59" s="50">
        <v>0.0</v>
      </c>
      <c r="F59" s="49">
        <v>10.0</v>
      </c>
      <c r="G59" s="49">
        <v>42.0</v>
      </c>
      <c r="H59" s="82">
        <v>0.009</v>
      </c>
      <c r="I59" s="82">
        <v>1.52</v>
      </c>
      <c r="J59" s="83"/>
      <c r="K59" s="82">
        <v>3.57</v>
      </c>
      <c r="L59" s="82">
        <v>0.66</v>
      </c>
      <c r="M59" s="82">
        <v>0.22</v>
      </c>
      <c r="N59" s="82">
        <v>0.34</v>
      </c>
      <c r="O59" s="2">
        <v>5.0</v>
      </c>
      <c r="P59" s="2">
        <f t="shared" si="2"/>
        <v>42.0</v>
      </c>
    </row>
    <row r="60" spans="8:8" ht="15.0" customHeight="1">
      <c r="A60" s="44"/>
      <c r="B60" s="43" t="s">
        <v>11</v>
      </c>
      <c r="C60" s="29">
        <v>40.0</v>
      </c>
      <c r="D60" s="49">
        <v>3.04</v>
      </c>
      <c r="E60" s="46">
        <v>0.32</v>
      </c>
      <c r="F60" s="49">
        <v>19.68</v>
      </c>
      <c r="G60" s="49">
        <v>98.34</v>
      </c>
      <c r="H60" s="30">
        <v>0.1</v>
      </c>
      <c r="I60" s="25"/>
      <c r="J60" s="25"/>
      <c r="K60" s="54">
        <v>17.4</v>
      </c>
      <c r="L60" s="25">
        <v>78.0</v>
      </c>
      <c r="M60" s="25">
        <v>25.2</v>
      </c>
      <c r="N60" s="30">
        <v>2.16</v>
      </c>
      <c r="O60" s="2">
        <v>3.0</v>
      </c>
      <c r="P60" s="2">
        <f t="shared" si="2"/>
        <v>98.304</v>
      </c>
    </row>
    <row r="61" spans="8:8" ht="15.0" customHeight="1">
      <c r="A61" s="44"/>
      <c r="B61" s="47"/>
      <c r="C61" s="100">
        <f>SUM(C57:C60)</f>
        <v>503.0</v>
      </c>
      <c r="D61" s="49"/>
      <c r="E61" s="46"/>
      <c r="F61" s="49"/>
      <c r="G61" s="49"/>
      <c r="H61" s="30"/>
      <c r="I61" s="25"/>
      <c r="J61" s="25"/>
      <c r="K61" s="54"/>
      <c r="L61" s="25"/>
      <c r="M61" s="25"/>
      <c r="N61" s="30"/>
      <c r="P61" s="2">
        <f t="shared" si="2"/>
        <v>0.0</v>
      </c>
    </row>
    <row r="62" spans="8:8" ht="15.0" customHeight="1">
      <c r="A62" s="44"/>
      <c r="B62" s="67" t="s">
        <v>67</v>
      </c>
      <c r="C62" s="68"/>
      <c r="D62" s="86">
        <f>D63+D64+D65+D66+D67</f>
        <v>27.28</v>
      </c>
      <c r="E62" s="86">
        <f>E63+E64+E65+E66+E67</f>
        <v>28.66</v>
      </c>
      <c r="F62" s="86">
        <f>F63+F64+F65+F66+F67</f>
        <v>79.31</v>
      </c>
      <c r="G62" s="86">
        <f>G63+G64+G65+G66+G67</f>
        <v>705.9599999999999</v>
      </c>
      <c r="H62" s="86" t="e">
        <f>H63+H64+H65+#REF!+H66+H67</f>
        <v>#REF!</v>
      </c>
      <c r="I62" s="86" t="e">
        <f>I63+I64+I65+#REF!+I66+I67</f>
        <v>#REF!</v>
      </c>
      <c r="J62" s="86" t="e">
        <f>J63+J64+J65+#REF!+J66+J67</f>
        <v>#REF!</v>
      </c>
      <c r="K62" s="86" t="e">
        <f>K63+K64+K65+#REF!+K66+K67</f>
        <v>#REF!</v>
      </c>
      <c r="L62" s="86" t="e">
        <f>L63+L64+L65+#REF!+L66+L67</f>
        <v>#REF!</v>
      </c>
      <c r="M62" s="86" t="e">
        <f>M63+M64+M65+#REF!+M66+M67</f>
        <v>#REF!</v>
      </c>
      <c r="N62" s="86" t="e">
        <f>N63+N64+N65+#REF!+N66+N67</f>
        <v>#REF!</v>
      </c>
      <c r="O62" s="87" t="e">
        <f>O63+O64+O65+#REF!+O66+O67</f>
        <v>#REF!</v>
      </c>
      <c r="P62" s="2">
        <f t="shared" si="2"/>
        <v>705.6179999999999</v>
      </c>
    </row>
    <row r="63" spans="8:8" ht="15.0" customHeight="1">
      <c r="A63" s="107" t="s">
        <v>174</v>
      </c>
      <c r="B63" s="88" t="s">
        <v>142</v>
      </c>
      <c r="C63" s="74">
        <v>60.0</v>
      </c>
      <c r="D63" s="108">
        <v>0.74</v>
      </c>
      <c r="E63" s="108">
        <v>0.06</v>
      </c>
      <c r="F63" s="108">
        <v>6.92</v>
      </c>
      <c r="G63" s="108">
        <v>33.0</v>
      </c>
      <c r="H63" s="46">
        <v>0.03</v>
      </c>
      <c r="I63" s="46">
        <v>5.8</v>
      </c>
      <c r="J63" s="46"/>
      <c r="K63" s="46">
        <v>18.74</v>
      </c>
      <c r="L63" s="46">
        <v>25.96</v>
      </c>
      <c r="M63" s="46">
        <v>11.72</v>
      </c>
      <c r="N63" s="46">
        <v>0.5</v>
      </c>
      <c r="O63" s="72">
        <v>11.4</v>
      </c>
      <c r="P63" s="2">
        <f t="shared" si="2"/>
        <v>32.711999999999996</v>
      </c>
    </row>
    <row r="64" spans="8:8" ht="16.5" customHeight="1">
      <c r="A64" s="101" t="s">
        <v>167</v>
      </c>
      <c r="B64" s="45" t="s">
        <v>190</v>
      </c>
      <c r="C64" s="29">
        <v>200.0</v>
      </c>
      <c r="D64" s="46">
        <f>6.51-0.99</f>
        <v>5.52</v>
      </c>
      <c r="E64" s="46">
        <f>12.28-0.1</f>
        <v>12.18</v>
      </c>
      <c r="F64" s="46">
        <f>11.17-0.27</f>
        <v>10.9</v>
      </c>
      <c r="G64" s="46">
        <v>178.58</v>
      </c>
      <c r="H64" s="46" t="s">
        <v>95</v>
      </c>
      <c r="I64" s="46" t="s">
        <v>96</v>
      </c>
      <c r="J64" s="50"/>
      <c r="K64" s="46" t="s">
        <v>97</v>
      </c>
      <c r="L64" s="46" t="s">
        <v>98</v>
      </c>
      <c r="M64" s="46" t="s">
        <v>99</v>
      </c>
      <c r="N64" s="46" t="s">
        <v>100</v>
      </c>
      <c r="O64" s="2">
        <v>9.6</v>
      </c>
      <c r="P64" s="2">
        <f t="shared" si="2"/>
        <v>178.584</v>
      </c>
    </row>
    <row r="65" spans="8:8" ht="15.0" customHeight="1">
      <c r="A65" s="44">
        <v>209.0</v>
      </c>
      <c r="B65" s="45" t="s">
        <v>143</v>
      </c>
      <c r="C65" s="29">
        <v>260.0</v>
      </c>
      <c r="D65" s="46">
        <v>18.35</v>
      </c>
      <c r="E65" s="46">
        <v>16.26</v>
      </c>
      <c r="F65" s="46">
        <v>39.62</v>
      </c>
      <c r="G65" s="46">
        <v>389.81</v>
      </c>
      <c r="H65" s="46" t="s">
        <v>84</v>
      </c>
      <c r="I65" s="46" t="s">
        <v>112</v>
      </c>
      <c r="J65" s="50"/>
      <c r="K65" s="46" t="s">
        <v>113</v>
      </c>
      <c r="L65" s="46" t="s">
        <v>114</v>
      </c>
      <c r="M65" s="46" t="s">
        <v>115</v>
      </c>
      <c r="N65" s="46" t="s">
        <v>116</v>
      </c>
      <c r="O65" s="2">
        <v>35.7</v>
      </c>
      <c r="P65" s="2">
        <f t="shared" si="2"/>
        <v>389.81399999999996</v>
      </c>
    </row>
    <row r="66" spans="8:8" ht="16.5" customHeight="1">
      <c r="A66" s="109" t="s">
        <v>42</v>
      </c>
      <c r="B66" s="43" t="s">
        <v>201</v>
      </c>
      <c r="C66" s="48">
        <v>200.0</v>
      </c>
      <c r="D66" s="49">
        <v>1.15</v>
      </c>
      <c r="E66" s="50"/>
      <c r="F66" s="49">
        <v>12.03</v>
      </c>
      <c r="G66" s="49">
        <v>55.4</v>
      </c>
      <c r="H66" s="110">
        <v>0.01</v>
      </c>
      <c r="I66" s="110">
        <v>0.65</v>
      </c>
      <c r="J66" s="111"/>
      <c r="K66" s="110">
        <v>19.23</v>
      </c>
      <c r="L66" s="111"/>
      <c r="M66" s="111"/>
      <c r="N66" s="110">
        <v>0.72</v>
      </c>
      <c r="O66" s="2">
        <v>7.0</v>
      </c>
      <c r="P66" s="2">
        <f t="shared" si="2"/>
        <v>55.356</v>
      </c>
    </row>
    <row r="67" spans="8:8" ht="15.0" customHeight="1">
      <c r="A67" s="44"/>
      <c r="B67" s="43" t="s">
        <v>11</v>
      </c>
      <c r="C67" s="29">
        <v>20.0</v>
      </c>
      <c r="D67" s="49">
        <v>1.52</v>
      </c>
      <c r="E67" s="46">
        <v>0.16</v>
      </c>
      <c r="F67" s="49">
        <v>9.84</v>
      </c>
      <c r="G67" s="49">
        <v>49.17</v>
      </c>
      <c r="H67" s="46">
        <v>0.04</v>
      </c>
      <c r="I67" s="50"/>
      <c r="J67" s="50"/>
      <c r="K67" s="49">
        <v>7.25</v>
      </c>
      <c r="L67" s="50">
        <v>32.5</v>
      </c>
      <c r="M67" s="50">
        <v>10.5</v>
      </c>
      <c r="N67" s="46">
        <v>0.9</v>
      </c>
      <c r="O67" s="2">
        <v>3.0</v>
      </c>
      <c r="P67" s="2">
        <f t="shared" si="2"/>
        <v>49.152</v>
      </c>
    </row>
    <row r="68" spans="8:8" ht="15.0" customHeight="1">
      <c r="A68" s="44"/>
      <c r="B68" s="104"/>
      <c r="C68" s="100">
        <f>SUM(C63:C67)</f>
        <v>740.0</v>
      </c>
      <c r="D68" s="49"/>
      <c r="E68" s="46"/>
      <c r="F68" s="49"/>
      <c r="G68" s="49"/>
      <c r="H68" s="46"/>
      <c r="I68" s="50"/>
      <c r="J68" s="50"/>
      <c r="K68" s="49"/>
      <c r="L68" s="50"/>
      <c r="M68" s="50"/>
      <c r="N68" s="46"/>
      <c r="P68" s="2">
        <f t="shared" si="2"/>
        <v>0.0</v>
      </c>
    </row>
    <row r="69" spans="8:8">
      <c r="A69" s="36" t="s">
        <v>28</v>
      </c>
      <c r="B69" s="37" t="s">
        <v>13</v>
      </c>
      <c r="C69" s="33"/>
      <c r="D69" s="86">
        <f>D70+D76</f>
        <v>42.75</v>
      </c>
      <c r="E69" s="86">
        <f t="shared" si="11" ref="E69:O69">E70+E76</f>
        <v>37.599999999999994</v>
      </c>
      <c r="F69" s="86">
        <f t="shared" si="11"/>
        <v>190.61</v>
      </c>
      <c r="G69" s="86">
        <f t="shared" si="11"/>
        <v>1319.01</v>
      </c>
      <c r="H69" s="86">
        <f t="shared" si="11"/>
        <v>0.66</v>
      </c>
      <c r="I69" s="86">
        <f t="shared" si="11"/>
        <v>70.66</v>
      </c>
      <c r="J69" s="86">
        <f t="shared" si="11"/>
        <v>16.0</v>
      </c>
      <c r="K69" s="86">
        <f t="shared" si="11"/>
        <v>423.51</v>
      </c>
      <c r="L69" s="86">
        <f t="shared" si="11"/>
        <v>173.92</v>
      </c>
      <c r="M69" s="86">
        <f t="shared" si="11"/>
        <v>63.459999999999994</v>
      </c>
      <c r="N69" s="86">
        <f t="shared" si="11"/>
        <v>10.280000000000001</v>
      </c>
      <c r="O69" s="87">
        <f t="shared" si="11"/>
        <v>184.4</v>
      </c>
      <c r="P69" s="2">
        <f t="shared" si="2"/>
        <v>1318.512</v>
      </c>
    </row>
    <row r="70" spans="8:8">
      <c r="A70" s="36"/>
      <c r="B70" s="37" t="s">
        <v>66</v>
      </c>
      <c r="C70" s="33"/>
      <c r="D70" s="86">
        <f>D71+D72+D73+D74</f>
        <v>14.879999999999999</v>
      </c>
      <c r="E70" s="86">
        <f>E71+E72+E73+E74</f>
        <v>9.540000000000001</v>
      </c>
      <c r="F70" s="86">
        <f>F71+F72+F73+F74</f>
        <v>89.13</v>
      </c>
      <c r="G70" s="86">
        <f>G71+G72+G73+G74</f>
        <v>522.74</v>
      </c>
      <c r="H70" s="86">
        <f t="shared" si="12" ref="H70:O70">H71+H72+H73+H74</f>
        <v>0.16</v>
      </c>
      <c r="I70" s="86">
        <f t="shared" si="12"/>
        <v>16.88</v>
      </c>
      <c r="J70" s="86">
        <f t="shared" si="12"/>
        <v>16.0</v>
      </c>
      <c r="K70" s="86">
        <f t="shared" si="12"/>
        <v>316.85</v>
      </c>
      <c r="L70" s="86">
        <f t="shared" si="12"/>
        <v>8.2</v>
      </c>
      <c r="M70" s="86">
        <f t="shared" si="12"/>
        <v>1.48</v>
      </c>
      <c r="N70" s="86">
        <f t="shared" si="12"/>
        <v>4.75</v>
      </c>
      <c r="O70" s="87">
        <f t="shared" si="12"/>
        <v>95.0</v>
      </c>
      <c r="P70" s="2">
        <f t="shared" si="2"/>
        <v>522.702</v>
      </c>
    </row>
    <row r="71" spans="8:8">
      <c r="A71" s="95"/>
      <c r="B71" s="96" t="s">
        <v>41</v>
      </c>
      <c r="C71" s="97">
        <v>100.0</v>
      </c>
      <c r="D71" s="98">
        <v>0.4</v>
      </c>
      <c r="E71" s="98">
        <v>0.0</v>
      </c>
      <c r="F71" s="98">
        <v>9.8</v>
      </c>
      <c r="G71" s="98">
        <v>42.84</v>
      </c>
      <c r="H71" s="54">
        <v>0.07</v>
      </c>
      <c r="I71" s="54">
        <v>0.88</v>
      </c>
      <c r="J71" s="54">
        <v>16.0</v>
      </c>
      <c r="K71" s="54">
        <v>283.18</v>
      </c>
      <c r="L71" s="54">
        <v>8.2</v>
      </c>
      <c r="M71" s="54">
        <v>1.48</v>
      </c>
      <c r="N71" s="54">
        <v>0.71</v>
      </c>
      <c r="O71" s="2">
        <v>66.0</v>
      </c>
      <c r="P71" s="2">
        <f t="shared" si="2"/>
        <v>42.84</v>
      </c>
    </row>
    <row r="72" spans="8:8">
      <c r="A72" s="74" t="s">
        <v>180</v>
      </c>
      <c r="B72" s="112" t="s">
        <v>178</v>
      </c>
      <c r="C72" s="48">
        <v>203.0</v>
      </c>
      <c r="D72" s="49">
        <v>11.44</v>
      </c>
      <c r="E72" s="49">
        <v>9.22</v>
      </c>
      <c r="F72" s="49">
        <v>49.65</v>
      </c>
      <c r="G72" s="49">
        <v>339.56</v>
      </c>
      <c r="H72" s="25"/>
      <c r="I72" s="25"/>
      <c r="J72" s="25"/>
      <c r="K72" s="54">
        <v>0.47</v>
      </c>
      <c r="L72" s="25"/>
      <c r="M72" s="25"/>
      <c r="N72" s="54">
        <v>0.04</v>
      </c>
      <c r="O72" s="2">
        <v>3.0</v>
      </c>
      <c r="P72" s="2">
        <f t="shared" si="2"/>
        <v>339.558</v>
      </c>
    </row>
    <row r="73" spans="8:8">
      <c r="A73" s="113" t="s">
        <v>163</v>
      </c>
      <c r="B73" s="43" t="s">
        <v>10</v>
      </c>
      <c r="C73" s="56">
        <v>200.0</v>
      </c>
      <c r="D73" s="49">
        <v>0.0</v>
      </c>
      <c r="E73" s="46">
        <v>0.0</v>
      </c>
      <c r="F73" s="49">
        <v>10.0</v>
      </c>
      <c r="G73" s="49">
        <v>42.0</v>
      </c>
      <c r="H73" s="30">
        <v>0.04</v>
      </c>
      <c r="I73" s="25"/>
      <c r="J73" s="25"/>
      <c r="K73" s="54">
        <v>7.6</v>
      </c>
      <c r="L73" s="25"/>
      <c r="M73" s="25"/>
      <c r="N73" s="30">
        <v>0.48</v>
      </c>
      <c r="O73" s="2">
        <v>4.0</v>
      </c>
      <c r="P73" s="2">
        <f t="shared" si="13" ref="P73:P135">(D73+F73)*4.2+E73*9</f>
        <v>42.0</v>
      </c>
    </row>
    <row r="74" spans="8:8" ht="13.5" customHeight="1">
      <c r="A74" s="57"/>
      <c r="B74" s="114" t="s">
        <v>11</v>
      </c>
      <c r="C74" s="29">
        <v>40.0</v>
      </c>
      <c r="D74" s="49">
        <v>3.04</v>
      </c>
      <c r="E74" s="46">
        <v>0.32</v>
      </c>
      <c r="F74" s="49">
        <v>19.68</v>
      </c>
      <c r="G74" s="49">
        <v>98.34</v>
      </c>
      <c r="H74" s="62">
        <v>0.05</v>
      </c>
      <c r="I74" s="63">
        <v>16.0</v>
      </c>
      <c r="J74" s="64"/>
      <c r="K74" s="63">
        <v>25.6</v>
      </c>
      <c r="L74" s="64"/>
      <c r="M74" s="64"/>
      <c r="N74" s="63">
        <v>3.52</v>
      </c>
      <c r="O74" s="2">
        <v>22.0</v>
      </c>
      <c r="P74" s="2">
        <f t="shared" si="13"/>
        <v>98.304</v>
      </c>
    </row>
    <row r="75" spans="8:8">
      <c r="A75" s="102"/>
      <c r="B75" s="47"/>
      <c r="C75" s="115">
        <f>SUM(C71:C74)</f>
        <v>543.0</v>
      </c>
      <c r="D75" s="49"/>
      <c r="E75" s="50"/>
      <c r="F75" s="49"/>
      <c r="G75" s="49"/>
      <c r="H75" s="25"/>
      <c r="I75" s="54"/>
      <c r="J75" s="25"/>
      <c r="K75" s="54"/>
      <c r="L75" s="54"/>
      <c r="M75" s="54"/>
      <c r="N75" s="54"/>
      <c r="P75" s="2">
        <f t="shared" si="13"/>
        <v>0.0</v>
      </c>
    </row>
    <row r="76" spans="8:8">
      <c r="A76" s="102"/>
      <c r="B76" s="67" t="s">
        <v>67</v>
      </c>
      <c r="C76" s="68"/>
      <c r="D76" s="86">
        <f>D77+D78+D79+D80+D81+D82</f>
        <v>27.87</v>
      </c>
      <c r="E76" s="86">
        <f>E77+E78+E79+E80+E81+E82</f>
        <v>28.06</v>
      </c>
      <c r="F76" s="86">
        <f>F77+F78+F79+F80+F81+F82</f>
        <v>101.48</v>
      </c>
      <c r="G76" s="86">
        <f>G77+G78+G79+G80+G81+G82</f>
        <v>796.27</v>
      </c>
      <c r="H76" s="86">
        <f t="shared" si="14" ref="H76:O76">H77+H78+H79+H80+H81</f>
        <v>0.5</v>
      </c>
      <c r="I76" s="86">
        <f t="shared" si="14"/>
        <v>53.78</v>
      </c>
      <c r="J76" s="86">
        <f t="shared" si="14"/>
        <v>0.0</v>
      </c>
      <c r="K76" s="86">
        <f t="shared" si="14"/>
        <v>106.66</v>
      </c>
      <c r="L76" s="86">
        <f t="shared" si="14"/>
        <v>165.72</v>
      </c>
      <c r="M76" s="86">
        <f t="shared" si="14"/>
        <v>61.980000000000004</v>
      </c>
      <c r="N76" s="86">
        <f t="shared" si="14"/>
        <v>5.53</v>
      </c>
      <c r="O76" s="87">
        <f t="shared" si="14"/>
        <v>89.39999999999999</v>
      </c>
      <c r="P76" s="2">
        <f t="shared" si="13"/>
        <v>795.81</v>
      </c>
    </row>
    <row r="77" spans="8:8" ht="14.25" customHeight="1">
      <c r="A77" s="70" t="s">
        <v>171</v>
      </c>
      <c r="B77" s="43" t="s">
        <v>145</v>
      </c>
      <c r="C77" s="71">
        <v>60.0</v>
      </c>
      <c r="D77" s="49">
        <v>0.88</v>
      </c>
      <c r="E77" s="49">
        <v>3.11</v>
      </c>
      <c r="F77" s="49">
        <v>5.64</v>
      </c>
      <c r="G77" s="49">
        <v>55.8</v>
      </c>
      <c r="H77" s="54">
        <v>0.04</v>
      </c>
      <c r="I77" s="54">
        <v>15.0</v>
      </c>
      <c r="J77" s="50"/>
      <c r="K77" s="54">
        <v>8.4</v>
      </c>
      <c r="L77" s="54"/>
      <c r="M77" s="54"/>
      <c r="N77" s="54">
        <v>0.54</v>
      </c>
      <c r="O77" s="2">
        <v>10.9</v>
      </c>
      <c r="P77" s="2">
        <f t="shared" si="13"/>
        <v>55.373999999999995</v>
      </c>
    </row>
    <row r="78" spans="8:8" ht="14.25" customHeight="1">
      <c r="A78" s="44" t="s">
        <v>165</v>
      </c>
      <c r="B78" s="45" t="s">
        <v>188</v>
      </c>
      <c r="C78" s="29">
        <v>200.0</v>
      </c>
      <c r="D78" s="46">
        <v>3.0</v>
      </c>
      <c r="E78" s="46">
        <f>4.61-0.21</f>
        <v>4.4</v>
      </c>
      <c r="F78" s="46">
        <f>12.54-0.05</f>
        <v>12.489999999999998</v>
      </c>
      <c r="G78" s="46">
        <v>104.65</v>
      </c>
      <c r="H78" s="46" t="s">
        <v>45</v>
      </c>
      <c r="I78" s="46" t="s">
        <v>102</v>
      </c>
      <c r="J78" s="50"/>
      <c r="K78" s="46" t="s">
        <v>103</v>
      </c>
      <c r="L78" s="46" t="s">
        <v>104</v>
      </c>
      <c r="M78" s="46" t="s">
        <v>105</v>
      </c>
      <c r="N78" s="46" t="s">
        <v>106</v>
      </c>
      <c r="O78" s="2">
        <v>9.6</v>
      </c>
      <c r="P78" s="2">
        <f t="shared" si="13"/>
        <v>104.65800000000002</v>
      </c>
    </row>
    <row r="79" spans="8:8">
      <c r="A79" s="44" t="s">
        <v>146</v>
      </c>
      <c r="B79" s="112" t="s">
        <v>147</v>
      </c>
      <c r="C79" s="22">
        <v>110.0</v>
      </c>
      <c r="D79" s="49">
        <v>5.73</v>
      </c>
      <c r="E79" s="49">
        <v>16.34</v>
      </c>
      <c r="F79" s="49">
        <v>10.38</v>
      </c>
      <c r="G79" s="49">
        <v>215.0</v>
      </c>
      <c r="H79" s="48">
        <v>0.22</v>
      </c>
      <c r="I79" s="48">
        <v>27.28</v>
      </c>
      <c r="J79" s="48"/>
      <c r="K79" s="48">
        <v>29.14</v>
      </c>
      <c r="L79" s="48">
        <v>79.98</v>
      </c>
      <c r="M79" s="48">
        <v>31.56</v>
      </c>
      <c r="N79" s="48">
        <v>2.32</v>
      </c>
      <c r="O79" s="2">
        <v>59.1</v>
      </c>
      <c r="P79" s="2">
        <f t="shared" si="13"/>
        <v>214.722</v>
      </c>
    </row>
    <row r="80" spans="8:8">
      <c r="A80" s="116" t="s">
        <v>134</v>
      </c>
      <c r="B80" s="43" t="s">
        <v>148</v>
      </c>
      <c r="C80" s="48">
        <v>150.0</v>
      </c>
      <c r="D80" s="49">
        <v>16.26</v>
      </c>
      <c r="E80" s="117">
        <v>4.03</v>
      </c>
      <c r="F80" s="49">
        <v>33.97</v>
      </c>
      <c r="G80" s="49">
        <v>247.3</v>
      </c>
      <c r="H80" s="49">
        <v>0.02</v>
      </c>
      <c r="I80" s="49"/>
      <c r="J80" s="50"/>
      <c r="K80" s="49">
        <v>20.32</v>
      </c>
      <c r="L80" s="49">
        <v>19.36</v>
      </c>
      <c r="M80" s="49">
        <v>8.12</v>
      </c>
      <c r="N80" s="49">
        <v>0.45</v>
      </c>
      <c r="O80" s="2">
        <v>7.0</v>
      </c>
      <c r="P80" s="2">
        <f t="shared" si="13"/>
        <v>247.23600000000002</v>
      </c>
    </row>
    <row r="81" spans="8:8" ht="29.25" customHeight="1">
      <c r="A81" s="44" t="s">
        <v>42</v>
      </c>
      <c r="B81" s="43" t="s">
        <v>202</v>
      </c>
      <c r="C81" s="48">
        <v>200.0</v>
      </c>
      <c r="D81" s="49">
        <v>1.0</v>
      </c>
      <c r="E81" s="49">
        <v>0.1</v>
      </c>
      <c r="F81" s="49">
        <v>31.0</v>
      </c>
      <c r="G81" s="49">
        <v>135.0</v>
      </c>
      <c r="H81" s="29">
        <v>0.04</v>
      </c>
      <c r="I81" s="74"/>
      <c r="J81" s="74"/>
      <c r="K81" s="48">
        <v>8.0</v>
      </c>
      <c r="L81" s="74">
        <v>26.0</v>
      </c>
      <c r="M81" s="74">
        <v>5.6</v>
      </c>
      <c r="N81" s="29">
        <v>0.44</v>
      </c>
      <c r="O81" s="2">
        <v>2.8</v>
      </c>
      <c r="P81" s="2">
        <f t="shared" si="13"/>
        <v>135.3</v>
      </c>
    </row>
    <row r="82" spans="8:8">
      <c r="A82" s="38"/>
      <c r="B82" s="118" t="s">
        <v>37</v>
      </c>
      <c r="C82" s="29">
        <v>20.0</v>
      </c>
      <c r="D82" s="49">
        <v>1.0</v>
      </c>
      <c r="E82" s="46">
        <v>0.08</v>
      </c>
      <c r="F82" s="49">
        <v>8.0</v>
      </c>
      <c r="G82" s="49">
        <v>38.52</v>
      </c>
      <c r="H82" s="29"/>
      <c r="I82" s="74"/>
      <c r="J82" s="74"/>
      <c r="K82" s="48"/>
      <c r="L82" s="74"/>
      <c r="M82" s="74"/>
      <c r="N82" s="29"/>
      <c r="P82" s="2">
        <f t="shared" si="13"/>
        <v>38.519999999999996</v>
      </c>
    </row>
    <row r="83" spans="8:8">
      <c r="A83" s="38"/>
      <c r="B83" s="119"/>
      <c r="C83" s="100">
        <f>SUM(C77:C82)</f>
        <v>740.0</v>
      </c>
      <c r="D83" s="49"/>
      <c r="E83" s="46"/>
      <c r="F83" s="49"/>
      <c r="G83" s="49"/>
      <c r="H83" s="30"/>
      <c r="I83" s="25"/>
      <c r="J83" s="25"/>
      <c r="K83" s="54"/>
      <c r="L83" s="25"/>
      <c r="M83" s="25"/>
      <c r="N83" s="30"/>
      <c r="P83" s="2">
        <f t="shared" si="13"/>
        <v>0.0</v>
      </c>
    </row>
    <row r="84" spans="8:8">
      <c r="A84" s="120" t="s">
        <v>29</v>
      </c>
      <c r="B84" s="37" t="s">
        <v>13</v>
      </c>
      <c r="C84" s="33"/>
      <c r="D84" s="86">
        <f t="shared" si="15" ref="D84:O84">D85+D91</f>
        <v>35.18</v>
      </c>
      <c r="E84" s="86">
        <f t="shared" si="15"/>
        <v>40.68</v>
      </c>
      <c r="F84" s="86">
        <f t="shared" si="15"/>
        <v>171.07999999999998</v>
      </c>
      <c r="G84" s="86">
        <f>G85+G91</f>
        <v>1233.26</v>
      </c>
      <c r="H84" s="86" t="e">
        <f t="shared" si="15"/>
        <v>#REF!</v>
      </c>
      <c r="I84" s="86" t="e">
        <f t="shared" si="15"/>
        <v>#REF!</v>
      </c>
      <c r="J84" s="86" t="e">
        <f t="shared" si="15"/>
        <v>#REF!</v>
      </c>
      <c r="K84" s="86" t="e">
        <f t="shared" si="15"/>
        <v>#REF!</v>
      </c>
      <c r="L84" s="86" t="e">
        <f t="shared" si="15"/>
        <v>#REF!</v>
      </c>
      <c r="M84" s="86" t="e">
        <f t="shared" si="15"/>
        <v>#REF!</v>
      </c>
      <c r="N84" s="86" t="e">
        <f t="shared" si="15"/>
        <v>#REF!</v>
      </c>
      <c r="O84" s="87" t="e">
        <f t="shared" si="15"/>
        <v>#REF!</v>
      </c>
      <c r="P84" s="2">
        <f t="shared" si="13"/>
        <v>1232.412</v>
      </c>
    </row>
    <row r="85" spans="8:8">
      <c r="A85" s="121"/>
      <c r="B85" s="37" t="s">
        <v>66</v>
      </c>
      <c r="C85" s="33"/>
      <c r="D85" s="122">
        <f>D86+D87+D88+D89</f>
        <v>11.64</v>
      </c>
      <c r="E85" s="122">
        <f>E86+E87+E88+E89</f>
        <v>10.52</v>
      </c>
      <c r="F85" s="122">
        <f>F86+F87+F88+F89</f>
        <v>89.5</v>
      </c>
      <c r="G85" s="122">
        <f>G86+G87+G88+G89</f>
        <v>519.5</v>
      </c>
      <c r="H85" s="122" t="e">
        <f>H86+H87+H88+H89+#REF!</f>
        <v>#REF!</v>
      </c>
      <c r="I85" s="122" t="e">
        <f>I86+I87+I88+I89+#REF!</f>
        <v>#REF!</v>
      </c>
      <c r="J85" s="122" t="e">
        <f>J86+J87+J88+J89+#REF!</f>
        <v>#REF!</v>
      </c>
      <c r="K85" s="122" t="e">
        <f>K86+K87+K88+K89+#REF!</f>
        <v>#REF!</v>
      </c>
      <c r="L85" s="122" t="e">
        <f>L86+L87+L88+L89+#REF!</f>
        <v>#REF!</v>
      </c>
      <c r="M85" s="122" t="e">
        <f>M86+M87+M88+M89+#REF!</f>
        <v>#REF!</v>
      </c>
      <c r="N85" s="122" t="e">
        <f>N86+N87+N88+N89+#REF!</f>
        <v>#REF!</v>
      </c>
      <c r="O85" s="123" t="e">
        <f>O86+O87+O88+O89+#REF!</f>
        <v>#REF!</v>
      </c>
      <c r="P85" s="2">
        <f>(D85+F85)*4.2+E85*9</f>
        <v>519.4680000000001</v>
      </c>
      <c r="Q85" s="124">
        <f>G85-470</f>
        <v>49.5</v>
      </c>
      <c r="R85" s="2">
        <f>Q85/9</f>
        <v>5.5</v>
      </c>
    </row>
    <row r="86" spans="8:8">
      <c r="A86" s="125"/>
      <c r="B86" s="126" t="s">
        <v>41</v>
      </c>
      <c r="C86" s="97">
        <v>100.0</v>
      </c>
      <c r="D86" s="98">
        <v>0.4</v>
      </c>
      <c r="E86" s="98">
        <v>0.0</v>
      </c>
      <c r="F86" s="98">
        <v>9.8</v>
      </c>
      <c r="G86" s="98">
        <v>42.84</v>
      </c>
      <c r="H86" s="127">
        <v>0.11</v>
      </c>
      <c r="I86" s="127">
        <v>0.95</v>
      </c>
      <c r="J86" s="127">
        <v>40.0</v>
      </c>
      <c r="K86" s="127">
        <v>99.66</v>
      </c>
      <c r="L86" s="127">
        <v>71.29</v>
      </c>
      <c r="M86" s="127">
        <v>23.64</v>
      </c>
      <c r="N86" s="127">
        <v>0.79</v>
      </c>
      <c r="O86" s="2">
        <v>15.0</v>
      </c>
      <c r="P86" s="2">
        <f t="shared" si="13"/>
        <v>42.84</v>
      </c>
    </row>
    <row r="87" spans="8:8" ht="24.75" customHeight="1">
      <c r="A87" s="44" t="s">
        <v>161</v>
      </c>
      <c r="B87" s="45" t="s">
        <v>183</v>
      </c>
      <c r="C87" s="29">
        <v>203.0</v>
      </c>
      <c r="D87" s="46">
        <v>8.2</v>
      </c>
      <c r="E87" s="46">
        <v>10.2</v>
      </c>
      <c r="F87" s="46">
        <v>50.02</v>
      </c>
      <c r="G87" s="46">
        <v>336.32</v>
      </c>
      <c r="H87" s="30">
        <v>0.03</v>
      </c>
      <c r="I87" s="30">
        <v>0.65</v>
      </c>
      <c r="J87" s="25"/>
      <c r="K87" s="30">
        <v>64.43</v>
      </c>
      <c r="L87" s="25"/>
      <c r="M87" s="25"/>
      <c r="N87" s="30">
        <v>0.4</v>
      </c>
      <c r="O87" s="2">
        <v>7.7</v>
      </c>
      <c r="P87" s="2">
        <f t="shared" si="13"/>
        <v>336.324</v>
      </c>
      <c r="Q87" s="128"/>
      <c r="R87" s="129"/>
      <c r="S87" s="129"/>
      <c r="T87" s="129"/>
      <c r="U87" s="129"/>
      <c r="V87" s="129"/>
      <c r="W87" s="129"/>
      <c r="X87" s="89"/>
      <c r="Y87" s="129"/>
      <c r="Z87" s="129"/>
      <c r="AA87" s="129"/>
      <c r="AB87" s="129"/>
      <c r="AC87" s="129"/>
    </row>
    <row r="88" spans="8:8" ht="12.0" customHeight="1">
      <c r="A88" s="52" t="s">
        <v>163</v>
      </c>
      <c r="B88" s="39" t="s">
        <v>10</v>
      </c>
      <c r="C88" s="40">
        <v>200.0</v>
      </c>
      <c r="D88" s="53">
        <v>0.0</v>
      </c>
      <c r="E88" s="53">
        <v>0.0</v>
      </c>
      <c r="F88" s="53">
        <v>10.0</v>
      </c>
      <c r="G88" s="53">
        <v>42.0</v>
      </c>
      <c r="H88" s="25"/>
      <c r="I88" s="54">
        <v>0.28</v>
      </c>
      <c r="J88" s="25"/>
      <c r="K88" s="54">
        <v>100.5</v>
      </c>
      <c r="L88" s="25"/>
      <c r="M88" s="25"/>
      <c r="N88" s="54">
        <v>0.09</v>
      </c>
      <c r="O88" s="2">
        <v>9.0</v>
      </c>
      <c r="P88" s="2">
        <f t="shared" si="13"/>
        <v>42.0</v>
      </c>
      <c r="Q88" s="128"/>
      <c r="R88" s="129"/>
      <c r="S88" s="129"/>
      <c r="T88" s="129"/>
      <c r="U88" s="129"/>
      <c r="V88" s="129"/>
      <c r="W88" s="129"/>
      <c r="X88" s="89"/>
      <c r="Y88" s="129"/>
      <c r="Z88" s="129"/>
      <c r="AA88" s="129"/>
      <c r="AB88" s="129"/>
      <c r="AC88" s="129"/>
    </row>
    <row r="89" spans="8:8">
      <c r="A89" s="55"/>
      <c r="B89" s="118" t="s">
        <v>11</v>
      </c>
      <c r="C89" s="29">
        <v>40.0</v>
      </c>
      <c r="D89" s="49">
        <v>3.04</v>
      </c>
      <c r="E89" s="46">
        <v>0.32</v>
      </c>
      <c r="F89" s="49">
        <v>19.68</v>
      </c>
      <c r="G89" s="49">
        <v>98.34</v>
      </c>
      <c r="H89" s="30">
        <v>0.04</v>
      </c>
      <c r="I89" s="25"/>
      <c r="J89" s="25"/>
      <c r="K89" s="54">
        <v>7.6</v>
      </c>
      <c r="L89" s="25"/>
      <c r="M89" s="25"/>
      <c r="N89" s="30">
        <v>0.48</v>
      </c>
      <c r="O89" s="130">
        <v>4.0</v>
      </c>
      <c r="P89" s="2">
        <f t="shared" si="13"/>
        <v>98.304</v>
      </c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</row>
    <row r="90" spans="8:8">
      <c r="A90" s="57"/>
      <c r="B90" s="58"/>
      <c r="C90" s="65">
        <f>SUM(C86:C89)</f>
        <v>543.0</v>
      </c>
      <c r="D90" s="60"/>
      <c r="E90" s="61"/>
      <c r="F90" s="60"/>
      <c r="G90" s="60"/>
      <c r="H90" s="62"/>
      <c r="I90" s="63"/>
      <c r="J90" s="64"/>
      <c r="K90" s="63"/>
      <c r="L90" s="64"/>
      <c r="M90" s="64"/>
      <c r="N90" s="63"/>
      <c r="P90" s="2">
        <f t="shared" si="13"/>
        <v>0.0</v>
      </c>
    </row>
    <row r="91" spans="8:8">
      <c r="A91" s="57"/>
      <c r="B91" s="67" t="s">
        <v>67</v>
      </c>
      <c r="C91" s="68"/>
      <c r="D91" s="69">
        <f>D92+D93+D94+D95+D96</f>
        <v>23.54</v>
      </c>
      <c r="E91" s="69">
        <f>E92+E93+E94+E95+E96</f>
        <v>30.16</v>
      </c>
      <c r="F91" s="69">
        <f>F92+F93+F94+F95+F96</f>
        <v>81.58</v>
      </c>
      <c r="G91" s="69">
        <f>G92+G93+G94+G95+G96</f>
        <v>713.76</v>
      </c>
      <c r="H91" s="69" t="e">
        <f>H92+H93+H94+H95+#REF!+H96</f>
        <v>#REF!</v>
      </c>
      <c r="I91" s="69" t="e">
        <f>I92+I93+I94+I95+#REF!+I96</f>
        <v>#REF!</v>
      </c>
      <c r="J91" s="69" t="e">
        <f>J92+J93+J94+J95+#REF!+J96</f>
        <v>#REF!</v>
      </c>
      <c r="K91" s="69" t="e">
        <f>K92+K93+K94+K95+#REF!+K96</f>
        <v>#REF!</v>
      </c>
      <c r="L91" s="69" t="e">
        <f>L92+L93+L94+L95+#REF!+L96</f>
        <v>#REF!</v>
      </c>
      <c r="M91" s="69" t="e">
        <f>M92+M93+M94+M95+#REF!+M96</f>
        <v>#REF!</v>
      </c>
      <c r="N91" s="69" t="e">
        <f>N92+N93+N94+N95+#REF!+N96</f>
        <v>#REF!</v>
      </c>
      <c r="O91" s="131" t="e">
        <f>O92+O93+O94+O95+#REF!+O96</f>
        <v>#REF!</v>
      </c>
      <c r="P91" s="2">
        <f t="shared" si="13"/>
        <v>712.944</v>
      </c>
      <c r="Q91" s="124">
        <f>P91-705</f>
        <v>7.94399999999996</v>
      </c>
      <c r="R91" s="2">
        <f>Q91/9</f>
        <v>0.8826666666666623</v>
      </c>
    </row>
    <row r="92" spans="8:8" ht="16.5" customHeight="1">
      <c r="A92" s="70" t="s">
        <v>139</v>
      </c>
      <c r="B92" s="43" t="s">
        <v>140</v>
      </c>
      <c r="C92" s="71">
        <v>60.0</v>
      </c>
      <c r="D92" s="49">
        <v>0.9</v>
      </c>
      <c r="E92" s="49">
        <v>0.06</v>
      </c>
      <c r="F92" s="49">
        <v>5.28</v>
      </c>
      <c r="G92" s="49">
        <v>27.0</v>
      </c>
      <c r="H92" s="46">
        <v>0.02</v>
      </c>
      <c r="I92" s="46">
        <v>2.3</v>
      </c>
      <c r="J92" s="46">
        <v>443.0</v>
      </c>
      <c r="K92" s="46">
        <v>14.0</v>
      </c>
      <c r="L92" s="46">
        <v>28.0</v>
      </c>
      <c r="M92" s="46">
        <v>17.0</v>
      </c>
      <c r="N92" s="46">
        <v>0.45</v>
      </c>
      <c r="O92" s="2">
        <v>9.2</v>
      </c>
      <c r="P92" s="2">
        <f t="shared" si="13"/>
        <v>26.496</v>
      </c>
      <c r="S92" s="132"/>
      <c r="T92" s="133"/>
      <c r="U92" s="134"/>
      <c r="V92" s="134"/>
      <c r="W92" s="134"/>
      <c r="X92" s="134"/>
      <c r="Y92" s="134"/>
      <c r="Z92" s="129"/>
      <c r="AA92" s="129"/>
      <c r="AB92" s="129"/>
      <c r="AC92" s="129"/>
      <c r="AD92" s="129"/>
      <c r="AE92" s="129"/>
      <c r="AF92" s="129"/>
    </row>
    <row r="93" spans="8:8" ht="28.5" customHeight="1">
      <c r="A93" s="44" t="s">
        <v>124</v>
      </c>
      <c r="B93" s="45" t="s">
        <v>159</v>
      </c>
      <c r="C93" s="29">
        <v>200.0</v>
      </c>
      <c r="D93" s="46">
        <f>3.96-0.86</f>
        <v>3.1</v>
      </c>
      <c r="E93" s="46">
        <f>4.86-0.84</f>
        <v>4.0200000000000005</v>
      </c>
      <c r="F93" s="46">
        <f>17.01-0.09</f>
        <v>16.92</v>
      </c>
      <c r="G93" s="46">
        <v>120.26</v>
      </c>
      <c r="H93" s="46" t="s">
        <v>118</v>
      </c>
      <c r="I93" s="46" t="s">
        <v>119</v>
      </c>
      <c r="J93" s="50"/>
      <c r="K93" s="46" t="s">
        <v>120</v>
      </c>
      <c r="L93" s="46" t="s">
        <v>121</v>
      </c>
      <c r="M93" s="46" t="s">
        <v>122</v>
      </c>
      <c r="N93" s="46" t="s">
        <v>123</v>
      </c>
      <c r="O93" s="2">
        <v>11.2</v>
      </c>
      <c r="P93" s="2">
        <f t="shared" si="13"/>
        <v>120.26400000000001</v>
      </c>
      <c r="S93" s="135"/>
      <c r="T93" s="136"/>
      <c r="U93" s="137"/>
      <c r="V93" s="138"/>
      <c r="W93" s="138"/>
      <c r="X93" s="138"/>
      <c r="Y93" s="138"/>
      <c r="Z93" s="138"/>
      <c r="AA93" s="138"/>
      <c r="AB93" s="89"/>
      <c r="AC93" s="138"/>
      <c r="AD93" s="138"/>
      <c r="AE93" s="138"/>
      <c r="AF93" s="129"/>
    </row>
    <row r="94" spans="8:8">
      <c r="A94" s="102">
        <v>218.0</v>
      </c>
      <c r="B94" s="43" t="s">
        <v>149</v>
      </c>
      <c r="C94" s="48">
        <v>200.0</v>
      </c>
      <c r="D94" s="49">
        <v>16.48</v>
      </c>
      <c r="E94" s="49">
        <v>25.76</v>
      </c>
      <c r="F94" s="49">
        <v>10.39</v>
      </c>
      <c r="G94" s="49">
        <v>345.0</v>
      </c>
      <c r="H94" s="48">
        <v>0.09</v>
      </c>
      <c r="I94" s="48">
        <v>0.94</v>
      </c>
      <c r="J94" s="48"/>
      <c r="K94" s="48">
        <v>50.0</v>
      </c>
      <c r="L94" s="48">
        <v>87.8</v>
      </c>
      <c r="M94" s="48">
        <v>18.72</v>
      </c>
      <c r="N94" s="48">
        <v>1.28</v>
      </c>
      <c r="O94" s="2">
        <v>39.0</v>
      </c>
      <c r="P94" s="2">
        <f t="shared" si="13"/>
        <v>344.694</v>
      </c>
    </row>
    <row r="95" spans="8:8" ht="24.0">
      <c r="A95" s="73" t="s">
        <v>40</v>
      </c>
      <c r="B95" s="43" t="s">
        <v>203</v>
      </c>
      <c r="C95" s="48">
        <v>200.0</v>
      </c>
      <c r="D95" s="49">
        <v>0.02</v>
      </c>
      <c r="E95" s="49"/>
      <c r="F95" s="49">
        <v>29.31</v>
      </c>
      <c r="G95" s="49">
        <v>123.16</v>
      </c>
      <c r="H95" s="48">
        <v>0.15</v>
      </c>
      <c r="I95" s="74">
        <v>21.0</v>
      </c>
      <c r="J95" s="48"/>
      <c r="K95" s="48">
        <v>14.64</v>
      </c>
      <c r="L95" s="48">
        <v>79.73</v>
      </c>
      <c r="M95" s="48">
        <v>29.33</v>
      </c>
      <c r="N95" s="48">
        <v>1.16</v>
      </c>
      <c r="O95" s="2">
        <v>23.0</v>
      </c>
      <c r="P95" s="2">
        <f t="shared" si="13"/>
        <v>123.186</v>
      </c>
      <c r="Q95" s="139"/>
      <c r="R95" s="140"/>
      <c r="S95" s="134"/>
      <c r="T95" s="134"/>
      <c r="U95" s="134"/>
      <c r="V95" s="134"/>
      <c r="W95" s="134"/>
      <c r="X95" s="134"/>
      <c r="Y95" s="141"/>
      <c r="Z95" s="134"/>
      <c r="AA95" s="134"/>
      <c r="AB95" s="134"/>
      <c r="AC95" s="134"/>
      <c r="AD95" s="134"/>
    </row>
    <row r="96" spans="8:8">
      <c r="A96" s="44"/>
      <c r="B96" s="114" t="s">
        <v>11</v>
      </c>
      <c r="C96" s="59">
        <v>40.0</v>
      </c>
      <c r="D96" s="60">
        <v>3.04</v>
      </c>
      <c r="E96" s="61">
        <v>0.32</v>
      </c>
      <c r="F96" s="60">
        <v>19.68</v>
      </c>
      <c r="G96" s="60">
        <v>98.34</v>
      </c>
      <c r="H96" s="46">
        <v>0.04</v>
      </c>
      <c r="I96" s="50"/>
      <c r="J96" s="50"/>
      <c r="K96" s="49">
        <v>7.25</v>
      </c>
      <c r="L96" s="50">
        <v>32.5</v>
      </c>
      <c r="M96" s="50">
        <v>10.5</v>
      </c>
      <c r="N96" s="46">
        <v>0.9</v>
      </c>
      <c r="O96" s="2">
        <v>3.0</v>
      </c>
      <c r="P96" s="2">
        <f t="shared" si="13"/>
        <v>98.304</v>
      </c>
    </row>
    <row r="97" spans="8:8">
      <c r="A97" s="44"/>
      <c r="B97" s="47"/>
      <c r="C97" s="100">
        <f>SUM(C92:C96)</f>
        <v>700.0</v>
      </c>
      <c r="D97" s="49"/>
      <c r="E97" s="46"/>
      <c r="F97" s="49"/>
      <c r="G97" s="49"/>
      <c r="H97" s="46"/>
      <c r="I97" s="50"/>
      <c r="J97" s="50"/>
      <c r="K97" s="49"/>
      <c r="L97" s="50"/>
      <c r="M97" s="50"/>
      <c r="N97" s="46"/>
      <c r="P97" s="2">
        <f t="shared" si="13"/>
        <v>0.0</v>
      </c>
    </row>
    <row r="98" spans="8:8">
      <c r="A98" s="37" t="s">
        <v>64</v>
      </c>
      <c r="B98" s="32"/>
      <c r="C98" s="33"/>
      <c r="D98" s="86">
        <f t="shared" si="16" ref="D98:O98">D99+D105</f>
        <v>38.8397</v>
      </c>
      <c r="E98" s="86">
        <f t="shared" si="16"/>
        <v>41.8793</v>
      </c>
      <c r="F98" s="86">
        <f t="shared" si="16"/>
        <v>212.96030000000002</v>
      </c>
      <c r="G98" s="86">
        <f t="shared" si="16"/>
        <v>1456.496</v>
      </c>
      <c r="H98" s="86" t="e">
        <f t="shared" si="16"/>
        <v>#REF!</v>
      </c>
      <c r="I98" s="86" t="e">
        <f t="shared" si="16"/>
        <v>#REF!</v>
      </c>
      <c r="J98" s="86" t="e">
        <f t="shared" si="16"/>
        <v>#REF!</v>
      </c>
      <c r="K98" s="86" t="e">
        <f t="shared" si="16"/>
        <v>#REF!</v>
      </c>
      <c r="L98" s="86" t="e">
        <f t="shared" si="16"/>
        <v>#REF!</v>
      </c>
      <c r="M98" s="86" t="e">
        <f t="shared" si="16"/>
        <v>#REF!</v>
      </c>
      <c r="N98" s="86" t="e">
        <f t="shared" si="16"/>
        <v>#REF!</v>
      </c>
      <c r="O98" s="87" t="e">
        <f t="shared" si="16"/>
        <v>#REF!</v>
      </c>
      <c r="P98" s="2">
        <f t="shared" si="13"/>
        <v>1434.4737</v>
      </c>
    </row>
    <row r="99" spans="8:8">
      <c r="A99" s="142"/>
      <c r="B99" s="37" t="s">
        <v>66</v>
      </c>
      <c r="C99" s="33"/>
      <c r="D99" s="86">
        <f>D100+D101+D102+D103</f>
        <v>18.4097</v>
      </c>
      <c r="E99" s="86">
        <f t="shared" si="17" ref="E99:F99">E100+E101+E102+E103</f>
        <v>11.3093</v>
      </c>
      <c r="F99" s="86">
        <f t="shared" si="17"/>
        <v>136.0903</v>
      </c>
      <c r="G99" s="86">
        <f>G100+G101+G102+G103</f>
        <v>751.446</v>
      </c>
      <c r="H99" s="115" t="e">
        <f>H100+H101+#REF!+H103</f>
        <v>#REF!</v>
      </c>
      <c r="I99" s="115" t="e">
        <f>I100+I101+#REF!+I103</f>
        <v>#REF!</v>
      </c>
      <c r="J99" s="115" t="e">
        <f>J100+J101+#REF!+J103</f>
        <v>#REF!</v>
      </c>
      <c r="K99" s="115" t="e">
        <f>K100+K101+#REF!+K103</f>
        <v>#REF!</v>
      </c>
      <c r="L99" s="115" t="e">
        <f>L100+L101+#REF!+L103</f>
        <v>#REF!</v>
      </c>
      <c r="M99" s="115" t="e">
        <f>M100+M101+#REF!+M103</f>
        <v>#REF!</v>
      </c>
      <c r="N99" s="115" t="e">
        <f>N100+N101+#REF!+N103</f>
        <v>#REF!</v>
      </c>
      <c r="O99" s="143" t="e">
        <f>O100+O101+#REF!+O103</f>
        <v>#REF!</v>
      </c>
      <c r="P99" s="2">
        <f t="shared" si="13"/>
        <v>750.6836999999999</v>
      </c>
    </row>
    <row r="100" spans="8:8" ht="26.25" customHeight="1">
      <c r="A100" s="74" t="s">
        <v>161</v>
      </c>
      <c r="B100" s="45" t="s">
        <v>187</v>
      </c>
      <c r="C100" s="29">
        <v>203.0</v>
      </c>
      <c r="D100" s="49">
        <v>7.16</v>
      </c>
      <c r="E100" s="49">
        <v>4.66</v>
      </c>
      <c r="F100" s="49">
        <v>40.52</v>
      </c>
      <c r="G100" s="49">
        <v>242.96</v>
      </c>
      <c r="H100" s="54">
        <v>0.06</v>
      </c>
      <c r="I100" s="54">
        <v>2.82</v>
      </c>
      <c r="J100" s="25"/>
      <c r="K100" s="54">
        <v>14.58</v>
      </c>
      <c r="L100" s="54">
        <v>25.31</v>
      </c>
      <c r="M100" s="54">
        <v>6.62</v>
      </c>
      <c r="N100" s="54">
        <v>1.51</v>
      </c>
      <c r="O100" s="2">
        <v>38.0</v>
      </c>
      <c r="P100" s="2">
        <f t="shared" si="13"/>
        <v>242.196</v>
      </c>
      <c r="Q100" s="136"/>
      <c r="R100" s="137"/>
      <c r="S100" s="137"/>
      <c r="T100" s="137"/>
      <c r="U100" s="137"/>
      <c r="V100" s="137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</row>
    <row r="101" spans="8:8" ht="13.5" customHeight="1">
      <c r="A101" s="106" t="s">
        <v>179</v>
      </c>
      <c r="B101" s="43" t="s">
        <v>177</v>
      </c>
      <c r="C101" s="48">
        <v>100.0</v>
      </c>
      <c r="D101" s="49">
        <f>4.91*1.67</f>
        <v>8.1997</v>
      </c>
      <c r="E101" s="49">
        <f>3.79*1.67</f>
        <v>6.3293</v>
      </c>
      <c r="F101" s="49">
        <f>36.09*1.67</f>
        <v>60.270300000000006</v>
      </c>
      <c r="G101" s="49">
        <v>344.5</v>
      </c>
      <c r="H101" s="54">
        <v>0.3</v>
      </c>
      <c r="I101" s="25">
        <v>0.15</v>
      </c>
      <c r="J101" s="54">
        <v>21.0</v>
      </c>
      <c r="K101" s="54">
        <v>15.38</v>
      </c>
      <c r="L101" s="54">
        <v>208.35</v>
      </c>
      <c r="M101" s="54">
        <v>138.65</v>
      </c>
      <c r="N101" s="54">
        <v>4.66</v>
      </c>
      <c r="O101" s="2">
        <v>16.0</v>
      </c>
      <c r="P101" s="2">
        <f t="shared" si="13"/>
        <v>344.53770000000003</v>
      </c>
      <c r="Q101" s="140"/>
      <c r="R101" s="134"/>
      <c r="S101" s="134"/>
      <c r="T101" s="134"/>
      <c r="U101" s="134"/>
      <c r="V101" s="134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</row>
    <row r="102" spans="8:8" ht="14.25" customHeight="1">
      <c r="A102" s="146">
        <v>323.0</v>
      </c>
      <c r="B102" s="43" t="s">
        <v>151</v>
      </c>
      <c r="C102" s="48">
        <v>200.0</v>
      </c>
      <c r="D102" s="49">
        <v>0.01</v>
      </c>
      <c r="E102" s="50"/>
      <c r="F102" s="49">
        <v>15.62</v>
      </c>
      <c r="G102" s="49">
        <v>65.646</v>
      </c>
      <c r="H102" s="54"/>
      <c r="I102" s="54"/>
      <c r="J102" s="25"/>
      <c r="K102" s="54"/>
      <c r="L102" s="25"/>
      <c r="M102" s="25"/>
      <c r="N102" s="54"/>
      <c r="P102" s="2">
        <f t="shared" si="13"/>
        <v>65.646</v>
      </c>
      <c r="Q102" s="140"/>
      <c r="R102" s="134"/>
      <c r="S102" s="134"/>
      <c r="T102" s="141"/>
      <c r="U102" s="134"/>
      <c r="V102" s="134"/>
      <c r="W102" s="144"/>
      <c r="X102" s="145"/>
      <c r="Y102" s="145"/>
      <c r="Z102" s="144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</row>
    <row r="103" spans="8:8" ht="14.25" customHeight="1">
      <c r="A103" s="44"/>
      <c r="B103" s="43" t="s">
        <v>11</v>
      </c>
      <c r="C103" s="29">
        <v>40.0</v>
      </c>
      <c r="D103" s="49">
        <v>3.04</v>
      </c>
      <c r="E103" s="46">
        <v>0.32</v>
      </c>
      <c r="F103" s="49">
        <v>19.68</v>
      </c>
      <c r="G103" s="49">
        <v>98.34</v>
      </c>
      <c r="H103" s="30">
        <v>0.1</v>
      </c>
      <c r="I103" s="25"/>
      <c r="J103" s="25"/>
      <c r="K103" s="54">
        <v>17.4</v>
      </c>
      <c r="L103" s="25">
        <v>78.0</v>
      </c>
      <c r="M103" s="25">
        <v>25.2</v>
      </c>
      <c r="N103" s="30">
        <v>2.16</v>
      </c>
      <c r="O103" s="2">
        <v>3.0</v>
      </c>
      <c r="P103" s="2">
        <f t="shared" si="13"/>
        <v>98.304</v>
      </c>
      <c r="Q103" s="140"/>
      <c r="R103" s="128"/>
      <c r="S103" s="134"/>
      <c r="T103" s="128"/>
      <c r="U103" s="134"/>
      <c r="V103" s="134"/>
      <c r="W103" s="147"/>
      <c r="X103" s="144"/>
      <c r="Y103" s="144"/>
      <c r="Z103" s="144"/>
      <c r="AA103" s="144"/>
      <c r="AB103" s="144"/>
      <c r="AC103" s="144"/>
      <c r="AD103" s="144"/>
      <c r="AE103" s="144"/>
      <c r="AF103" s="144"/>
      <c r="AG103" s="145"/>
      <c r="AH103" s="144"/>
      <c r="AI103" s="144"/>
      <c r="AJ103" s="147"/>
    </row>
    <row r="104" spans="8:8" ht="15.0" customHeight="1">
      <c r="A104" s="44"/>
      <c r="B104" s="148"/>
      <c r="C104" s="65">
        <f>SUM(C100:C103)</f>
        <v>543.0</v>
      </c>
      <c r="D104" s="60"/>
      <c r="E104" s="61"/>
      <c r="F104" s="60"/>
      <c r="G104" s="60"/>
      <c r="H104" s="62"/>
      <c r="I104" s="63"/>
      <c r="J104" s="64"/>
      <c r="K104" s="63"/>
      <c r="L104" s="64"/>
      <c r="M104" s="64"/>
      <c r="N104" s="63"/>
      <c r="P104" s="2">
        <f t="shared" si="13"/>
        <v>0.0</v>
      </c>
      <c r="Q104" s="133"/>
      <c r="R104" s="137"/>
      <c r="S104" s="137"/>
      <c r="T104" s="137"/>
      <c r="U104" s="137"/>
      <c r="V104" s="137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144"/>
      <c r="AJ104" s="144"/>
    </row>
    <row r="105" spans="8:8" ht="17.25" customHeight="1">
      <c r="A105" s="85"/>
      <c r="B105" s="67" t="s">
        <v>67</v>
      </c>
      <c r="C105" s="68"/>
      <c r="D105" s="69">
        <f>D106+D107+D108+D109+D110+D111</f>
        <v>20.43</v>
      </c>
      <c r="E105" s="69">
        <f>E106+E107+E108+E109+E110+E111</f>
        <v>30.57</v>
      </c>
      <c r="F105" s="69">
        <f>F106+F107+F108+F109+F110+F111</f>
        <v>76.86999999999999</v>
      </c>
      <c r="G105" s="69">
        <f>G106+G107+G108+G109+G110+G111</f>
        <v>705.05</v>
      </c>
      <c r="H105" s="69">
        <v>0.71</v>
      </c>
      <c r="I105" s="69">
        <v>129.11</v>
      </c>
      <c r="J105" s="69">
        <f>J106+J107+J108+J110+J111</f>
        <v>0.0</v>
      </c>
      <c r="K105" s="69">
        <v>153.91</v>
      </c>
      <c r="L105" s="69">
        <v>204.2</v>
      </c>
      <c r="M105" s="69">
        <v>74.52</v>
      </c>
      <c r="N105" s="69">
        <v>4.62</v>
      </c>
      <c r="O105" s="131">
        <v>84.3</v>
      </c>
      <c r="P105" s="2">
        <f t="shared" si="13"/>
        <v>683.79</v>
      </c>
      <c r="Q105" s="133"/>
      <c r="R105" s="137"/>
      <c r="S105" s="137"/>
      <c r="T105" s="137"/>
      <c r="U105" s="137"/>
      <c r="V105" s="137"/>
      <c r="W105" s="144"/>
      <c r="X105" s="144"/>
      <c r="Y105" s="144"/>
      <c r="Z105" s="144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144"/>
    </row>
    <row r="106" spans="8:8" ht="15.0" customHeight="1">
      <c r="A106" s="70" t="s">
        <v>173</v>
      </c>
      <c r="B106" s="43" t="s">
        <v>136</v>
      </c>
      <c r="C106" s="149">
        <v>60.0</v>
      </c>
      <c r="D106" s="49">
        <v>0.94</v>
      </c>
      <c r="E106" s="49">
        <v>3.06</v>
      </c>
      <c r="F106" s="49">
        <v>5.66</v>
      </c>
      <c r="G106" s="49">
        <v>55.26</v>
      </c>
      <c r="H106" s="54">
        <v>0.04</v>
      </c>
      <c r="I106" s="54">
        <v>15.0</v>
      </c>
      <c r="J106" s="50"/>
      <c r="K106" s="54">
        <v>8.4</v>
      </c>
      <c r="L106" s="54"/>
      <c r="M106" s="54"/>
      <c r="N106" s="54">
        <v>0.54</v>
      </c>
      <c r="O106" s="2">
        <v>10.9</v>
      </c>
      <c r="P106" s="2">
        <f t="shared" si="13"/>
        <v>55.26</v>
      </c>
      <c r="Q106" s="133"/>
      <c r="R106" s="137"/>
      <c r="S106" s="137"/>
      <c r="T106" s="137"/>
      <c r="U106" s="137"/>
      <c r="V106" s="137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44"/>
    </row>
    <row r="107" spans="8:8" ht="12.0" customHeight="1">
      <c r="A107" s="103" t="s">
        <v>168</v>
      </c>
      <c r="B107" s="112" t="s">
        <v>191</v>
      </c>
      <c r="C107" s="150">
        <v>200.0</v>
      </c>
      <c r="D107" s="49">
        <f>4.65-0.09</f>
        <v>4.5600000000000005</v>
      </c>
      <c r="E107" s="49">
        <f>6.92-0.02</f>
        <v>6.9</v>
      </c>
      <c r="F107" s="49">
        <f>12.49-0.27</f>
        <v>12.22</v>
      </c>
      <c r="G107" s="49">
        <v>132.58</v>
      </c>
      <c r="H107" s="108" t="s">
        <v>70</v>
      </c>
      <c r="I107" s="108" t="s">
        <v>107</v>
      </c>
      <c r="J107" s="50"/>
      <c r="K107" s="108" t="s">
        <v>108</v>
      </c>
      <c r="L107" s="108" t="s">
        <v>109</v>
      </c>
      <c r="M107" s="108" t="s">
        <v>110</v>
      </c>
      <c r="N107" s="46" t="s">
        <v>111</v>
      </c>
      <c r="O107" s="151">
        <v>17.6</v>
      </c>
      <c r="P107" s="2">
        <f t="shared" si="13"/>
        <v>132.576</v>
      </c>
      <c r="Q107" s="133"/>
      <c r="R107" s="137"/>
      <c r="S107" s="137"/>
      <c r="T107" s="137"/>
      <c r="U107" s="137"/>
      <c r="V107" s="137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44"/>
      <c r="AG107" s="144"/>
      <c r="AH107" s="144"/>
      <c r="AI107" s="144"/>
      <c r="AJ107" s="144"/>
    </row>
    <row r="108" spans="8:8" ht="14.25" customHeight="1">
      <c r="A108" s="103">
        <v>203.0</v>
      </c>
      <c r="B108" s="112" t="s">
        <v>181</v>
      </c>
      <c r="C108" s="150">
        <v>100.0</v>
      </c>
      <c r="D108" s="49">
        <v>9.63</v>
      </c>
      <c r="E108" s="49">
        <v>12.61</v>
      </c>
      <c r="F108" s="49">
        <v>8.51</v>
      </c>
      <c r="G108" s="49">
        <v>189.68</v>
      </c>
      <c r="H108" s="54">
        <v>0.46</v>
      </c>
      <c r="I108" s="54">
        <v>1.78</v>
      </c>
      <c r="J108" s="54"/>
      <c r="K108" s="54">
        <v>10.16</v>
      </c>
      <c r="L108" s="54">
        <v>8.54</v>
      </c>
      <c r="M108" s="54">
        <v>1.88</v>
      </c>
      <c r="N108" s="54">
        <v>1.14</v>
      </c>
      <c r="O108" s="2">
        <v>33.0</v>
      </c>
      <c r="P108" s="2">
        <f t="shared" si="13"/>
        <v>189.678</v>
      </c>
      <c r="Q108" s="133"/>
      <c r="R108" s="137"/>
      <c r="S108" s="137"/>
      <c r="T108" s="137"/>
      <c r="U108" s="137"/>
      <c r="V108" s="137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44"/>
      <c r="AG108" s="144"/>
      <c r="AH108" s="144"/>
      <c r="AI108" s="144"/>
      <c r="AJ108" s="144"/>
    </row>
    <row r="109" spans="8:8" ht="14.25" customHeight="1">
      <c r="A109" s="38" t="s">
        <v>34</v>
      </c>
      <c r="B109" s="43" t="s">
        <v>32</v>
      </c>
      <c r="C109" s="150">
        <v>150.0</v>
      </c>
      <c r="D109" s="49">
        <v>3.26</v>
      </c>
      <c r="E109" s="49">
        <v>7.8</v>
      </c>
      <c r="F109" s="49">
        <v>21.99</v>
      </c>
      <c r="G109" s="49">
        <v>176.3</v>
      </c>
      <c r="H109" s="30">
        <v>0.05</v>
      </c>
      <c r="I109" s="30">
        <v>95.18</v>
      </c>
      <c r="J109" s="74"/>
      <c r="K109" s="54">
        <v>104.13</v>
      </c>
      <c r="L109" s="54">
        <v>72.31</v>
      </c>
      <c r="M109" s="54">
        <v>35.84</v>
      </c>
      <c r="N109" s="54">
        <v>1.44</v>
      </c>
      <c r="O109" s="2">
        <v>17.0</v>
      </c>
      <c r="P109" s="2">
        <f t="shared" si="13"/>
        <v>176.25</v>
      </c>
      <c r="Q109" s="133"/>
      <c r="R109" s="137"/>
      <c r="S109" s="137"/>
      <c r="T109" s="137"/>
      <c r="U109" s="137"/>
      <c r="V109" s="137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144"/>
      <c r="AG109" s="144"/>
      <c r="AH109" s="144"/>
      <c r="AI109" s="144"/>
      <c r="AJ109" s="144"/>
    </row>
    <row r="110" spans="8:8" ht="14.25" customHeight="1">
      <c r="A110" s="101" t="s">
        <v>175</v>
      </c>
      <c r="B110" s="45" t="s">
        <v>90</v>
      </c>
      <c r="C110" s="152">
        <v>200.0</v>
      </c>
      <c r="D110" s="153">
        <v>0.14</v>
      </c>
      <c r="E110" s="153"/>
      <c r="F110" s="46">
        <v>16.19</v>
      </c>
      <c r="G110" s="46">
        <v>89.23</v>
      </c>
      <c r="H110" s="110">
        <v>0.01</v>
      </c>
      <c r="I110" s="110">
        <v>0.65</v>
      </c>
      <c r="J110" s="111"/>
      <c r="K110" s="54">
        <v>0.47</v>
      </c>
      <c r="L110" s="25"/>
      <c r="M110" s="25"/>
      <c r="N110" s="54">
        <v>0.04</v>
      </c>
      <c r="O110" s="2">
        <v>3.0</v>
      </c>
      <c r="P110" s="2">
        <f t="shared" si="13"/>
        <v>68.586</v>
      </c>
      <c r="Q110" s="133"/>
      <c r="R110" s="137"/>
      <c r="S110" s="137"/>
      <c r="T110" s="137"/>
      <c r="U110" s="137"/>
      <c r="V110" s="137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</row>
    <row r="111" spans="8:8" ht="13.5" customHeight="1">
      <c r="A111" s="55"/>
      <c r="B111" s="118" t="s">
        <v>11</v>
      </c>
      <c r="C111" s="152">
        <v>25.0</v>
      </c>
      <c r="D111" s="49">
        <f>1.52*1.25</f>
        <v>1.9</v>
      </c>
      <c r="E111" s="46">
        <f>0.16*1.25</f>
        <v>0.2</v>
      </c>
      <c r="F111" s="49">
        <f>9.84*1.25</f>
        <v>12.3</v>
      </c>
      <c r="G111" s="49">
        <v>62.0</v>
      </c>
      <c r="H111" s="29">
        <v>0.04</v>
      </c>
      <c r="I111" s="74"/>
      <c r="J111" s="74"/>
      <c r="K111" s="48">
        <v>8.0</v>
      </c>
      <c r="L111" s="74">
        <v>26.0</v>
      </c>
      <c r="M111" s="74">
        <v>5.6</v>
      </c>
      <c r="N111" s="29">
        <v>0.44</v>
      </c>
      <c r="O111" s="2">
        <v>2.8</v>
      </c>
      <c r="P111" s="2">
        <f t="shared" si="13"/>
        <v>61.44</v>
      </c>
      <c r="Q111" s="133"/>
      <c r="R111" s="137"/>
      <c r="S111" s="137"/>
      <c r="T111" s="137"/>
      <c r="U111" s="137"/>
      <c r="V111" s="137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</row>
    <row r="112" spans="8:8">
      <c r="A112" s="154"/>
      <c r="B112" s="155"/>
      <c r="C112" s="156">
        <f>SUM(C106:C111)</f>
        <v>735.0</v>
      </c>
      <c r="D112" s="49"/>
      <c r="E112" s="46"/>
      <c r="F112" s="49"/>
      <c r="G112" s="49"/>
      <c r="H112" s="30"/>
      <c r="I112" s="25"/>
      <c r="J112" s="25"/>
      <c r="K112" s="54"/>
      <c r="L112" s="25"/>
      <c r="M112" s="25"/>
      <c r="N112" s="30"/>
      <c r="P112" s="2">
        <f t="shared" si="13"/>
        <v>0.0</v>
      </c>
      <c r="Q112" s="140"/>
      <c r="R112" s="157"/>
      <c r="S112" s="134"/>
      <c r="T112" s="128"/>
      <c r="U112" s="134"/>
      <c r="V112" s="134"/>
      <c r="W112" s="147"/>
      <c r="X112" s="144"/>
      <c r="Y112" s="144"/>
      <c r="Z112" s="144"/>
      <c r="AA112" s="144"/>
      <c r="AB112" s="144"/>
      <c r="AC112" s="144"/>
      <c r="AD112" s="144"/>
      <c r="AE112" s="144"/>
      <c r="AF112" s="144"/>
      <c r="AG112" s="145"/>
      <c r="AH112" s="144"/>
      <c r="AI112" s="144"/>
      <c r="AJ112" s="147"/>
    </row>
    <row r="113" spans="8:8">
      <c r="A113" s="120" t="s">
        <v>30</v>
      </c>
      <c r="B113" s="158" t="s">
        <v>13</v>
      </c>
      <c r="C113" s="158"/>
      <c r="D113" s="86">
        <f t="shared" si="18" ref="D113:O113">D114+D120</f>
        <v>39.03</v>
      </c>
      <c r="E113" s="86">
        <f t="shared" si="18"/>
        <v>49.67</v>
      </c>
      <c r="F113" s="86">
        <f t="shared" si="18"/>
        <v>181.64</v>
      </c>
      <c r="G113" s="86">
        <f>G114+G120</f>
        <v>1376.01</v>
      </c>
      <c r="H113" s="86" t="e">
        <f t="shared" si="18"/>
        <v>#REF!</v>
      </c>
      <c r="I113" s="86" t="e">
        <f t="shared" si="18"/>
        <v>#REF!</v>
      </c>
      <c r="J113" s="86" t="e">
        <f t="shared" si="18"/>
        <v>#REF!</v>
      </c>
      <c r="K113" s="86" t="e">
        <f t="shared" si="18"/>
        <v>#REF!</v>
      </c>
      <c r="L113" s="86" t="e">
        <f t="shared" si="18"/>
        <v>#REF!</v>
      </c>
      <c r="M113" s="86" t="e">
        <f t="shared" si="18"/>
        <v>#REF!</v>
      </c>
      <c r="N113" s="86" t="e">
        <f t="shared" si="18"/>
        <v>#REF!</v>
      </c>
      <c r="O113" s="87" t="e">
        <f t="shared" si="18"/>
        <v>#REF!</v>
      </c>
      <c r="P113" s="2">
        <f t="shared" si="13"/>
        <v>1373.844</v>
      </c>
    </row>
    <row r="114" spans="8:8">
      <c r="A114" s="120"/>
      <c r="B114" s="37" t="s">
        <v>66</v>
      </c>
      <c r="C114" s="33"/>
      <c r="D114" s="86">
        <f>D115+D116+D117+D118</f>
        <v>14.559999999999999</v>
      </c>
      <c r="E114" s="86">
        <f>E115+E116+E117+E118</f>
        <v>11.52</v>
      </c>
      <c r="F114" s="86">
        <f>F115+F116+F117+F118</f>
        <v>104.85</v>
      </c>
      <c r="G114" s="86">
        <f>G115+G116+G117+G118</f>
        <v>606.87</v>
      </c>
      <c r="H114" s="86" t="e">
        <f>H115+H116+H117+H118+#REF!</f>
        <v>#REF!</v>
      </c>
      <c r="I114" s="86" t="e">
        <f>I115+I116+I117+I118+#REF!</f>
        <v>#REF!</v>
      </c>
      <c r="J114" s="86" t="e">
        <f>J115+J116+J117+J118+#REF!</f>
        <v>#REF!</v>
      </c>
      <c r="K114" s="86" t="e">
        <f>K115+K116+K117+K118+#REF!</f>
        <v>#REF!</v>
      </c>
      <c r="L114" s="86" t="e">
        <f>L115+L116+L117+L118+#REF!</f>
        <v>#REF!</v>
      </c>
      <c r="M114" s="86" t="e">
        <f>M115+M116+M117+M118+#REF!</f>
        <v>#REF!</v>
      </c>
      <c r="N114" s="86" t="e">
        <f>N115+N116+N117+N118+#REF!</f>
        <v>#REF!</v>
      </c>
      <c r="O114" s="87" t="e">
        <f>O115+O116+O117+O118+#REF!</f>
        <v>#REF!</v>
      </c>
      <c r="P114" s="2">
        <f t="shared" si="13"/>
        <v>605.202</v>
      </c>
    </row>
    <row r="115" spans="8:8" ht="24.0">
      <c r="A115" s="76" t="s">
        <v>161</v>
      </c>
      <c r="B115" s="77" t="s">
        <v>184</v>
      </c>
      <c r="C115" s="48">
        <v>203.0</v>
      </c>
      <c r="D115" s="78">
        <f>7.02</f>
        <v>7.02</v>
      </c>
      <c r="E115" s="78">
        <f>4.12</f>
        <v>4.12</v>
      </c>
      <c r="F115" s="78">
        <f>30.23</f>
        <v>30.23</v>
      </c>
      <c r="G115" s="78">
        <v>193.53</v>
      </c>
      <c r="H115" s="25">
        <v>0.1</v>
      </c>
      <c r="I115" s="25">
        <v>6.03</v>
      </c>
      <c r="J115" s="25">
        <v>92.4</v>
      </c>
      <c r="K115" s="25">
        <v>52.89</v>
      </c>
      <c r="L115" s="25">
        <v>193.68</v>
      </c>
      <c r="M115" s="25">
        <v>44.45</v>
      </c>
      <c r="N115" s="25">
        <v>1.01</v>
      </c>
      <c r="O115" s="2">
        <v>35.0</v>
      </c>
      <c r="P115" s="2">
        <f t="shared" si="13"/>
        <v>193.52999999999997</v>
      </c>
    </row>
    <row r="116" spans="8:8">
      <c r="A116" s="44"/>
      <c r="B116" s="47" t="s">
        <v>62</v>
      </c>
      <c r="C116" s="48">
        <v>60.0</v>
      </c>
      <c r="D116" s="49">
        <f>1.5*3</f>
        <v>4.5</v>
      </c>
      <c r="E116" s="50">
        <f>2.36*3</f>
        <v>7.08</v>
      </c>
      <c r="F116" s="49">
        <f>14.98*3</f>
        <v>44.94</v>
      </c>
      <c r="G116" s="49">
        <f>91*3</f>
        <v>273.0</v>
      </c>
      <c r="H116" s="54">
        <v>0.19</v>
      </c>
      <c r="I116" s="54">
        <v>31.07</v>
      </c>
      <c r="J116" s="54">
        <v>25.2</v>
      </c>
      <c r="K116" s="54">
        <v>49.59</v>
      </c>
      <c r="L116" s="54">
        <v>91.3</v>
      </c>
      <c r="M116" s="54">
        <v>35.39</v>
      </c>
      <c r="N116" s="54">
        <v>1.43</v>
      </c>
      <c r="O116" s="2">
        <v>23.0</v>
      </c>
      <c r="P116" s="2">
        <f t="shared" si="13"/>
        <v>271.368</v>
      </c>
    </row>
    <row r="117" spans="8:8">
      <c r="A117" s="52" t="s">
        <v>163</v>
      </c>
      <c r="B117" s="43" t="s">
        <v>10</v>
      </c>
      <c r="C117" s="56">
        <v>200.0</v>
      </c>
      <c r="D117" s="49">
        <v>0.0</v>
      </c>
      <c r="E117" s="46">
        <v>0.0</v>
      </c>
      <c r="F117" s="49">
        <v>10.0</v>
      </c>
      <c r="G117" s="49">
        <v>42.0</v>
      </c>
      <c r="H117" s="25"/>
      <c r="I117" s="54">
        <v>2.4</v>
      </c>
      <c r="J117" s="25"/>
      <c r="K117" s="54">
        <v>2.87</v>
      </c>
      <c r="L117" s="54">
        <v>1.32</v>
      </c>
      <c r="M117" s="54">
        <v>0.72</v>
      </c>
      <c r="N117" s="54">
        <v>0.08</v>
      </c>
      <c r="O117" s="2">
        <v>5.0</v>
      </c>
      <c r="P117" s="2">
        <f t="shared" si="13"/>
        <v>42.0</v>
      </c>
    </row>
    <row r="118" spans="8:8">
      <c r="A118" s="57"/>
      <c r="B118" s="114" t="s">
        <v>11</v>
      </c>
      <c r="C118" s="59">
        <v>40.0</v>
      </c>
      <c r="D118" s="60">
        <v>3.04</v>
      </c>
      <c r="E118" s="61">
        <v>0.32</v>
      </c>
      <c r="F118" s="60">
        <v>19.68</v>
      </c>
      <c r="G118" s="60">
        <v>98.34</v>
      </c>
      <c r="H118" s="30">
        <v>0.04</v>
      </c>
      <c r="I118" s="25"/>
      <c r="J118" s="25"/>
      <c r="K118" s="54">
        <v>8.0</v>
      </c>
      <c r="L118" s="25">
        <v>26.0</v>
      </c>
      <c r="M118" s="25">
        <v>5.6</v>
      </c>
      <c r="N118" s="30">
        <v>0.44</v>
      </c>
      <c r="O118" s="2">
        <v>2.8</v>
      </c>
      <c r="P118" s="2">
        <f t="shared" si="13"/>
        <v>98.304</v>
      </c>
    </row>
    <row r="119" spans="8:8">
      <c r="A119" s="55"/>
      <c r="B119" s="47"/>
      <c r="C119" s="159">
        <f>SUM(C115:C118)</f>
        <v>503.0</v>
      </c>
      <c r="D119" s="49"/>
      <c r="E119" s="46"/>
      <c r="F119" s="49"/>
      <c r="G119" s="49"/>
      <c r="H119" s="30"/>
      <c r="I119" s="25"/>
      <c r="J119" s="25"/>
      <c r="K119" s="54"/>
      <c r="L119" s="25"/>
      <c r="M119" s="25"/>
      <c r="N119" s="30"/>
      <c r="P119" s="2">
        <f t="shared" si="13"/>
        <v>0.0</v>
      </c>
    </row>
    <row r="120" spans="8:8">
      <c r="A120" s="55"/>
      <c r="B120" s="67" t="s">
        <v>67</v>
      </c>
      <c r="C120" s="68"/>
      <c r="D120" s="86">
        <f>D121+D122+D123+D124+D125+D126</f>
        <v>24.47</v>
      </c>
      <c r="E120" s="86">
        <f>E121+E122+E123+E124+E125+E126</f>
        <v>38.15</v>
      </c>
      <c r="F120" s="86">
        <f>F121+F122+F123+F124+F125+F126</f>
        <v>76.79</v>
      </c>
      <c r="G120" s="86">
        <f>G121+G122+G123+G124+G125+G126</f>
        <v>769.14</v>
      </c>
      <c r="H120" s="86">
        <f t="shared" si="19" ref="H120:O120">H121+H122+H123+H124+H125+H126</f>
        <v>0.6900000000000001</v>
      </c>
      <c r="I120" s="86">
        <f t="shared" si="19"/>
        <v>21.71</v>
      </c>
      <c r="J120" s="86">
        <f t="shared" si="19"/>
        <v>0.9</v>
      </c>
      <c r="K120" s="86">
        <f t="shared" si="19"/>
        <v>151.85</v>
      </c>
      <c r="L120" s="86">
        <f t="shared" si="19"/>
        <v>371.56</v>
      </c>
      <c r="M120" s="86">
        <f t="shared" si="19"/>
        <v>129.63</v>
      </c>
      <c r="N120" s="86">
        <f t="shared" si="19"/>
        <v>8.81</v>
      </c>
      <c r="O120" s="87">
        <f t="shared" si="19"/>
        <v>68.8</v>
      </c>
      <c r="P120" s="2">
        <f t="shared" si="13"/>
        <v>768.642</v>
      </c>
    </row>
    <row r="121" spans="8:8">
      <c r="A121" s="70" t="s">
        <v>68</v>
      </c>
      <c r="B121" s="43" t="s">
        <v>69</v>
      </c>
      <c r="C121" s="71">
        <v>60.0</v>
      </c>
      <c r="D121" s="49">
        <v>0.84</v>
      </c>
      <c r="E121" s="49">
        <v>3.06</v>
      </c>
      <c r="F121" s="49">
        <v>6.83</v>
      </c>
      <c r="G121" s="49">
        <v>59.75</v>
      </c>
      <c r="H121" s="46">
        <v>0.01</v>
      </c>
      <c r="I121" s="46">
        <v>3.99</v>
      </c>
      <c r="J121" s="46"/>
      <c r="K121" s="46">
        <v>21.28</v>
      </c>
      <c r="L121" s="46">
        <v>24.38</v>
      </c>
      <c r="M121" s="46">
        <v>12.42</v>
      </c>
      <c r="N121" s="46">
        <v>0.79</v>
      </c>
      <c r="O121" s="72">
        <v>7.8</v>
      </c>
      <c r="P121" s="2">
        <f t="shared" si="13"/>
        <v>59.754</v>
      </c>
    </row>
    <row r="122" spans="8:8">
      <c r="A122" s="44" t="s">
        <v>130</v>
      </c>
      <c r="B122" s="45" t="s">
        <v>192</v>
      </c>
      <c r="C122" s="29">
        <v>200.0</v>
      </c>
      <c r="D122" s="46">
        <f>7.49-0.99</f>
        <v>6.5</v>
      </c>
      <c r="E122" s="46">
        <f>10.16+12.36-0.84</f>
        <v>21.68</v>
      </c>
      <c r="F122" s="46">
        <f>4.87+6.96-0.27</f>
        <v>11.56</v>
      </c>
      <c r="G122" s="46">
        <v>270.97</v>
      </c>
      <c r="H122" s="46" t="s">
        <v>125</v>
      </c>
      <c r="I122" s="46" t="s">
        <v>107</v>
      </c>
      <c r="J122" s="50"/>
      <c r="K122" s="46" t="s">
        <v>126</v>
      </c>
      <c r="L122" s="46" t="s">
        <v>127</v>
      </c>
      <c r="M122" s="46" t="s">
        <v>128</v>
      </c>
      <c r="N122" s="46" t="s">
        <v>129</v>
      </c>
      <c r="O122" s="2">
        <v>16.0</v>
      </c>
      <c r="P122" s="2">
        <f t="shared" si="13"/>
        <v>270.972</v>
      </c>
    </row>
    <row r="123" spans="8:8">
      <c r="A123" s="102" t="s">
        <v>131</v>
      </c>
      <c r="B123" s="43" t="s">
        <v>141</v>
      </c>
      <c r="C123" s="48">
        <v>90.0</v>
      </c>
      <c r="D123" s="49">
        <v>11.84</v>
      </c>
      <c r="E123" s="49">
        <v>10.06</v>
      </c>
      <c r="F123" s="49">
        <v>16.03</v>
      </c>
      <c r="G123" s="49">
        <v>208.0</v>
      </c>
      <c r="H123" s="29">
        <v>0.05</v>
      </c>
      <c r="I123" s="29">
        <v>1.22</v>
      </c>
      <c r="J123" s="74"/>
      <c r="K123" s="29">
        <v>9.8</v>
      </c>
      <c r="L123" s="29">
        <v>16.87</v>
      </c>
      <c r="M123" s="29">
        <v>4.54</v>
      </c>
      <c r="N123" s="29">
        <v>1.39</v>
      </c>
      <c r="O123" s="2">
        <v>25.0</v>
      </c>
      <c r="P123" s="2">
        <f t="shared" si="13"/>
        <v>207.594</v>
      </c>
    </row>
    <row r="124" spans="8:8">
      <c r="A124" s="44" t="s">
        <v>152</v>
      </c>
      <c r="B124" s="43" t="s">
        <v>153</v>
      </c>
      <c r="C124" s="92">
        <v>150.0</v>
      </c>
      <c r="D124" s="49">
        <v>3.14</v>
      </c>
      <c r="E124" s="46">
        <v>3.27</v>
      </c>
      <c r="F124" s="49">
        <v>22.34</v>
      </c>
      <c r="G124" s="49">
        <v>136.5</v>
      </c>
      <c r="H124" s="30">
        <v>0.44</v>
      </c>
      <c r="I124" s="25"/>
      <c r="J124" s="25">
        <v>0.9</v>
      </c>
      <c r="K124" s="54">
        <v>78.0</v>
      </c>
      <c r="L124" s="25">
        <v>215.0</v>
      </c>
      <c r="M124" s="25">
        <v>70.0</v>
      </c>
      <c r="N124" s="30">
        <v>4.45</v>
      </c>
      <c r="O124" s="2">
        <v>10.0</v>
      </c>
      <c r="P124" s="2">
        <f t="shared" si="13"/>
        <v>136.446</v>
      </c>
    </row>
    <row r="125" spans="8:8" ht="16.5" customHeight="1">
      <c r="A125" s="109" t="s">
        <v>42</v>
      </c>
      <c r="B125" s="43" t="s">
        <v>201</v>
      </c>
      <c r="C125" s="48">
        <v>200.0</v>
      </c>
      <c r="D125" s="49">
        <v>1.15</v>
      </c>
      <c r="E125" s="50"/>
      <c r="F125" s="49">
        <v>12.03</v>
      </c>
      <c r="G125" s="49">
        <v>55.4</v>
      </c>
      <c r="H125" s="49">
        <v>0.02</v>
      </c>
      <c r="I125" s="49"/>
      <c r="J125" s="50"/>
      <c r="K125" s="49">
        <v>20.32</v>
      </c>
      <c r="L125" s="49">
        <v>19.36</v>
      </c>
      <c r="M125" s="49">
        <v>8.12</v>
      </c>
      <c r="N125" s="49">
        <v>0.45</v>
      </c>
      <c r="O125" s="2">
        <v>7.0</v>
      </c>
      <c r="P125" s="2">
        <f t="shared" si="13"/>
        <v>55.356</v>
      </c>
    </row>
    <row r="126" spans="8:8">
      <c r="A126" s="55"/>
      <c r="B126" s="118" t="s">
        <v>37</v>
      </c>
      <c r="C126" s="29">
        <v>20.0</v>
      </c>
      <c r="D126" s="49">
        <v>1.0</v>
      </c>
      <c r="E126" s="46">
        <v>0.08</v>
      </c>
      <c r="F126" s="49">
        <v>8.0</v>
      </c>
      <c r="G126" s="49">
        <v>38.52</v>
      </c>
      <c r="H126" s="46">
        <v>0.04</v>
      </c>
      <c r="I126" s="50"/>
      <c r="J126" s="50"/>
      <c r="K126" s="49">
        <v>7.25</v>
      </c>
      <c r="L126" s="50">
        <v>32.5</v>
      </c>
      <c r="M126" s="50">
        <v>10.5</v>
      </c>
      <c r="N126" s="46">
        <v>0.9</v>
      </c>
      <c r="O126" s="2">
        <v>3.0</v>
      </c>
      <c r="P126" s="2">
        <f t="shared" si="13"/>
        <v>38.519999999999996</v>
      </c>
    </row>
    <row r="127" spans="8:8">
      <c r="A127" s="44"/>
      <c r="B127" s="47"/>
      <c r="C127" s="100">
        <f>SUM(C121:C126)</f>
        <v>720.0</v>
      </c>
      <c r="D127" s="49"/>
      <c r="E127" s="46"/>
      <c r="F127" s="49"/>
      <c r="G127" s="49"/>
      <c r="H127" s="30"/>
      <c r="I127" s="25"/>
      <c r="J127" s="25"/>
      <c r="K127" s="54"/>
      <c r="L127" s="25"/>
      <c r="M127" s="25"/>
      <c r="N127" s="30"/>
      <c r="P127" s="2">
        <f t="shared" si="13"/>
        <v>0.0</v>
      </c>
    </row>
    <row r="128" spans="8:8">
      <c r="A128" s="120" t="s">
        <v>31</v>
      </c>
      <c r="B128" s="37" t="s">
        <v>13</v>
      </c>
      <c r="C128" s="33"/>
      <c r="D128" s="86">
        <f>D129+D136</f>
        <v>49.05</v>
      </c>
      <c r="E128" s="86">
        <f t="shared" si="20" ref="E128:O128">E129+E136</f>
        <v>36.27</v>
      </c>
      <c r="F128" s="86">
        <f t="shared" si="20"/>
        <v>179.81</v>
      </c>
      <c r="G128" s="86">
        <f>G129+G136</f>
        <v>1288.062</v>
      </c>
      <c r="H128" s="86">
        <f t="shared" si="20"/>
        <v>0.7090000000000001</v>
      </c>
      <c r="I128" s="86">
        <f t="shared" si="20"/>
        <v>50.81</v>
      </c>
      <c r="J128" s="86">
        <f t="shared" si="20"/>
        <v>56.41</v>
      </c>
      <c r="K128" s="86">
        <f t="shared" si="20"/>
        <v>155.64999999999998</v>
      </c>
      <c r="L128" s="86">
        <f t="shared" si="20"/>
        <v>538.96</v>
      </c>
      <c r="M128" s="86">
        <f t="shared" si="20"/>
        <v>102.84</v>
      </c>
      <c r="N128" s="86">
        <f t="shared" si="20"/>
        <v>11.25</v>
      </c>
      <c r="O128" s="87">
        <f t="shared" si="20"/>
        <v>163.9</v>
      </c>
      <c r="P128" s="2">
        <f t="shared" si="13"/>
        <v>1287.642</v>
      </c>
    </row>
    <row r="129" spans="8:8">
      <c r="A129" s="160"/>
      <c r="B129" s="37" t="s">
        <v>66</v>
      </c>
      <c r="C129" s="33"/>
      <c r="D129" s="86">
        <f>D130+D131+D132+D133+D134</f>
        <v>28.65</v>
      </c>
      <c r="E129" s="86">
        <f>E130+E131+E132+E133+E134</f>
        <v>11.99</v>
      </c>
      <c r="F129" s="86">
        <f>F130+F131+F132+F133+F134</f>
        <v>73.56</v>
      </c>
      <c r="G129" s="86">
        <f>G130+G131+G132+G133+G134</f>
        <v>537.272</v>
      </c>
      <c r="H129" s="86">
        <f t="shared" si="21" ref="H129:O129">H130+H131+H132+H133+H134</f>
        <v>0.43</v>
      </c>
      <c r="I129" s="86">
        <f t="shared" si="21"/>
        <v>29.64</v>
      </c>
      <c r="J129" s="86">
        <f t="shared" si="21"/>
        <v>31.21</v>
      </c>
      <c r="K129" s="86">
        <f t="shared" si="21"/>
        <v>66.05</v>
      </c>
      <c r="L129" s="86">
        <f t="shared" si="21"/>
        <v>341.06</v>
      </c>
      <c r="M129" s="86">
        <f t="shared" si="21"/>
        <v>38.28</v>
      </c>
      <c r="N129" s="86">
        <f t="shared" si="21"/>
        <v>6.6000000000000005</v>
      </c>
      <c r="O129" s="87">
        <f t="shared" si="21"/>
        <v>71.7</v>
      </c>
      <c r="P129" s="2">
        <f t="shared" si="13"/>
        <v>537.192</v>
      </c>
    </row>
    <row r="130" spans="8:8" ht="13.5" customHeight="1">
      <c r="A130" s="70"/>
      <c r="B130" s="43" t="s">
        <v>154</v>
      </c>
      <c r="C130" s="71">
        <v>40.0</v>
      </c>
      <c r="D130" s="49">
        <v>5.08</v>
      </c>
      <c r="E130" s="49">
        <v>4.6</v>
      </c>
      <c r="F130" s="49">
        <v>0.28</v>
      </c>
      <c r="G130" s="49">
        <v>63.912</v>
      </c>
      <c r="H130" s="54">
        <v>0.05</v>
      </c>
      <c r="I130" s="54">
        <v>4.3</v>
      </c>
      <c r="J130" s="54"/>
      <c r="K130" s="54">
        <v>8.6</v>
      </c>
      <c r="L130" s="54">
        <v>26.66</v>
      </c>
      <c r="M130" s="54">
        <v>9.03</v>
      </c>
      <c r="N130" s="54">
        <v>0.3</v>
      </c>
      <c r="O130" s="2">
        <v>23.9</v>
      </c>
      <c r="P130" s="2">
        <f t="shared" si="13"/>
        <v>63.912</v>
      </c>
    </row>
    <row r="131" spans="8:8">
      <c r="A131" s="74" t="s">
        <v>39</v>
      </c>
      <c r="B131" s="161" t="s">
        <v>155</v>
      </c>
      <c r="C131" s="162">
        <v>120.0</v>
      </c>
      <c r="D131" s="163">
        <f>18.92+0.06</f>
        <v>18.98</v>
      </c>
      <c r="E131" s="163">
        <f>7.01+0.06</f>
        <v>7.069999999999999</v>
      </c>
      <c r="F131" s="163">
        <f>15+16.77</f>
        <v>31.77</v>
      </c>
      <c r="G131" s="163">
        <v>276.78</v>
      </c>
      <c r="H131" s="30">
        <v>0.23</v>
      </c>
      <c r="I131" s="30">
        <v>24.76</v>
      </c>
      <c r="J131" s="25">
        <v>6.01</v>
      </c>
      <c r="K131" s="30">
        <v>18.68</v>
      </c>
      <c r="L131" s="30">
        <v>233.56</v>
      </c>
      <c r="M131" s="30">
        <v>13.8</v>
      </c>
      <c r="N131" s="30">
        <v>5.18</v>
      </c>
      <c r="O131" s="2">
        <v>30.0</v>
      </c>
      <c r="P131" s="2">
        <f t="shared" si="13"/>
        <v>276.78000000000003</v>
      </c>
    </row>
    <row r="132" spans="8:8">
      <c r="A132" s="125"/>
      <c r="B132" s="126" t="s">
        <v>41</v>
      </c>
      <c r="C132" s="97">
        <v>100.0</v>
      </c>
      <c r="D132" s="98">
        <v>0.4</v>
      </c>
      <c r="E132" s="98">
        <v>0.0</v>
      </c>
      <c r="F132" s="98">
        <v>9.8</v>
      </c>
      <c r="G132" s="98">
        <v>42.84</v>
      </c>
      <c r="H132" s="54">
        <v>0.1</v>
      </c>
      <c r="I132" s="25"/>
      <c r="J132" s="54">
        <v>25.2</v>
      </c>
      <c r="K132" s="54">
        <v>13.46</v>
      </c>
      <c r="L132" s="54">
        <v>54.84</v>
      </c>
      <c r="M132" s="54">
        <v>9.85</v>
      </c>
      <c r="N132" s="54">
        <v>0.03</v>
      </c>
      <c r="O132" s="2">
        <v>8.0</v>
      </c>
      <c r="P132" s="2">
        <f t="shared" si="13"/>
        <v>42.84</v>
      </c>
    </row>
    <row r="133" spans="8:8">
      <c r="A133" s="81" t="s">
        <v>42</v>
      </c>
      <c r="B133" s="43" t="s">
        <v>201</v>
      </c>
      <c r="C133" s="48">
        <v>200.0</v>
      </c>
      <c r="D133" s="49">
        <v>1.15</v>
      </c>
      <c r="E133" s="50"/>
      <c r="F133" s="49">
        <v>12.03</v>
      </c>
      <c r="G133" s="49">
        <v>55.4</v>
      </c>
      <c r="H133" s="82">
        <v>0.01</v>
      </c>
      <c r="I133" s="82">
        <v>0.58</v>
      </c>
      <c r="J133" s="83"/>
      <c r="K133" s="82">
        <v>17.31</v>
      </c>
      <c r="L133" s="83"/>
      <c r="M133" s="83"/>
      <c r="N133" s="82">
        <v>0.65</v>
      </c>
      <c r="O133" s="2">
        <v>7.0</v>
      </c>
      <c r="P133" s="2">
        <f t="shared" si="13"/>
        <v>55.356</v>
      </c>
    </row>
    <row r="134" spans="8:8">
      <c r="A134" s="57"/>
      <c r="B134" s="114" t="s">
        <v>11</v>
      </c>
      <c r="C134" s="59">
        <v>40.0</v>
      </c>
      <c r="D134" s="60">
        <v>3.04</v>
      </c>
      <c r="E134" s="61">
        <v>0.32</v>
      </c>
      <c r="F134" s="60">
        <v>19.68</v>
      </c>
      <c r="G134" s="60">
        <v>98.34</v>
      </c>
      <c r="H134" s="30">
        <v>0.04</v>
      </c>
      <c r="I134" s="25"/>
      <c r="J134" s="25"/>
      <c r="K134" s="54">
        <v>8.0</v>
      </c>
      <c r="L134" s="25">
        <v>26.0</v>
      </c>
      <c r="M134" s="25">
        <v>5.6</v>
      </c>
      <c r="N134" s="30">
        <v>0.44</v>
      </c>
      <c r="O134" s="2">
        <v>2.8</v>
      </c>
      <c r="P134" s="2">
        <f t="shared" si="13"/>
        <v>98.304</v>
      </c>
    </row>
    <row r="135" spans="8:8">
      <c r="A135" s="44"/>
      <c r="B135" s="118"/>
      <c r="C135" s="100">
        <f>SUM(C130:C134)</f>
        <v>500.0</v>
      </c>
      <c r="D135" s="53"/>
      <c r="E135" s="53"/>
      <c r="F135" s="53"/>
      <c r="G135" s="53"/>
      <c r="H135" s="54"/>
      <c r="I135" s="25"/>
      <c r="J135" s="25"/>
      <c r="K135" s="54"/>
      <c r="L135" s="25"/>
      <c r="M135" s="25"/>
      <c r="N135" s="54"/>
      <c r="P135" s="2">
        <f t="shared" si="13"/>
        <v>0.0</v>
      </c>
    </row>
    <row r="136" spans="8:8" ht="18.75" customHeight="1">
      <c r="A136" s="44"/>
      <c r="B136" s="67" t="s">
        <v>67</v>
      </c>
      <c r="C136" s="68"/>
      <c r="D136" s="86">
        <f>D137+D138+D139+D140+D141+D142</f>
        <v>20.4</v>
      </c>
      <c r="E136" s="86">
        <f>E137+E138+E139+E140+E141+E142</f>
        <v>24.279999999999998</v>
      </c>
      <c r="F136" s="86">
        <f>F137+F138+F139+F140+F141+F142</f>
        <v>106.25</v>
      </c>
      <c r="G136" s="86">
        <f>G137+G138+G139+G140+G141+G142</f>
        <v>750.79</v>
      </c>
      <c r="H136" s="86">
        <f t="shared" si="22" ref="H136:O136">H137+H138+H139+H140+H141+H142</f>
        <v>0.27899999999999997</v>
      </c>
      <c r="I136" s="86">
        <f t="shared" si="22"/>
        <v>21.17</v>
      </c>
      <c r="J136" s="86">
        <f t="shared" si="22"/>
        <v>25.2</v>
      </c>
      <c r="K136" s="86">
        <f t="shared" si="22"/>
        <v>89.6</v>
      </c>
      <c r="L136" s="86">
        <f t="shared" si="22"/>
        <v>197.9</v>
      </c>
      <c r="M136" s="86">
        <f t="shared" si="22"/>
        <v>64.56</v>
      </c>
      <c r="N136" s="86">
        <f t="shared" si="22"/>
        <v>4.65</v>
      </c>
      <c r="O136" s="87">
        <f t="shared" si="22"/>
        <v>92.2</v>
      </c>
      <c r="P136" s="2">
        <f t="shared" si="23" ref="P136:P143">(D136+F136)*4.2+E136*9</f>
        <v>750.4499999999999</v>
      </c>
    </row>
    <row r="137" spans="8:8">
      <c r="A137" s="44" t="s">
        <v>82</v>
      </c>
      <c r="B137" s="88" t="s">
        <v>83</v>
      </c>
      <c r="C137" s="74">
        <v>60.0</v>
      </c>
      <c r="D137" s="89">
        <v>1.21</v>
      </c>
      <c r="E137" s="46">
        <v>6.2</v>
      </c>
      <c r="F137" s="46">
        <v>12.33</v>
      </c>
      <c r="G137" s="46">
        <v>113.0</v>
      </c>
      <c r="H137" s="46">
        <v>0.02</v>
      </c>
      <c r="I137" s="46">
        <v>2.53</v>
      </c>
      <c r="J137" s="46"/>
      <c r="K137" s="46">
        <v>27.92</v>
      </c>
      <c r="L137" s="46">
        <v>36.55</v>
      </c>
      <c r="M137" s="46">
        <v>19.35</v>
      </c>
      <c r="N137" s="46">
        <v>0.6</v>
      </c>
      <c r="O137" s="72">
        <v>10.8</v>
      </c>
      <c r="P137" s="2">
        <f t="shared" si="23"/>
        <v>112.668</v>
      </c>
    </row>
    <row r="138" spans="8:8" ht="24.0">
      <c r="A138" s="44" t="s">
        <v>124</v>
      </c>
      <c r="B138" s="45" t="s">
        <v>159</v>
      </c>
      <c r="C138" s="29">
        <v>200.0</v>
      </c>
      <c r="D138" s="46">
        <f>3.96-0.86</f>
        <v>3.1</v>
      </c>
      <c r="E138" s="46">
        <f>4.86-0.84</f>
        <v>4.0200000000000005</v>
      </c>
      <c r="F138" s="46">
        <f>17.01-0.09</f>
        <v>16.92</v>
      </c>
      <c r="G138" s="46">
        <v>120.26</v>
      </c>
      <c r="H138" s="46">
        <v>0.13</v>
      </c>
      <c r="I138" s="46">
        <v>16.52</v>
      </c>
      <c r="J138" s="50"/>
      <c r="K138" s="46">
        <v>19.05</v>
      </c>
      <c r="L138" s="46">
        <v>66.5</v>
      </c>
      <c r="M138" s="46">
        <v>26.6</v>
      </c>
      <c r="N138" s="46">
        <v>0.98</v>
      </c>
      <c r="O138" s="2">
        <v>7.6</v>
      </c>
      <c r="P138" s="2">
        <f t="shared" si="23"/>
        <v>120.26400000000001</v>
      </c>
    </row>
    <row r="139" spans="8:8">
      <c r="A139" s="70">
        <v>370.0</v>
      </c>
      <c r="B139" s="43" t="s">
        <v>138</v>
      </c>
      <c r="C139" s="71">
        <v>115.0</v>
      </c>
      <c r="D139" s="49">
        <v>6.32</v>
      </c>
      <c r="E139" s="49">
        <v>8.79</v>
      </c>
      <c r="F139" s="49">
        <v>19.37</v>
      </c>
      <c r="G139" s="49">
        <v>187.01</v>
      </c>
      <c r="H139" s="54">
        <v>0.08</v>
      </c>
      <c r="I139" s="54">
        <v>0.6</v>
      </c>
      <c r="J139" s="25"/>
      <c r="K139" s="54">
        <v>17.6</v>
      </c>
      <c r="L139" s="54">
        <v>13.35</v>
      </c>
      <c r="M139" s="54">
        <v>2.94</v>
      </c>
      <c r="N139" s="54">
        <v>2.26</v>
      </c>
      <c r="O139" s="2">
        <v>59.0</v>
      </c>
      <c r="P139" s="2">
        <f t="shared" si="23"/>
        <v>187.00799999999998</v>
      </c>
    </row>
    <row r="140" spans="8:8">
      <c r="A140" s="73" t="s">
        <v>38</v>
      </c>
      <c r="B140" s="43" t="s">
        <v>36</v>
      </c>
      <c r="C140" s="48">
        <v>150.0</v>
      </c>
      <c r="D140" s="49">
        <v>8.77</v>
      </c>
      <c r="E140" s="49">
        <v>5.19</v>
      </c>
      <c r="F140" s="49">
        <v>39.63</v>
      </c>
      <c r="G140" s="49">
        <v>250.0</v>
      </c>
      <c r="H140" s="48"/>
      <c r="I140" s="74"/>
      <c r="J140" s="48">
        <v>25.2</v>
      </c>
      <c r="K140" s="48">
        <v>13.46</v>
      </c>
      <c r="L140" s="48">
        <v>54.84</v>
      </c>
      <c r="M140" s="48">
        <v>9.85</v>
      </c>
      <c r="N140" s="48">
        <v>0.03</v>
      </c>
      <c r="O140" s="2">
        <v>7.0</v>
      </c>
      <c r="P140" s="2">
        <f t="shared" si="23"/>
        <v>249.99</v>
      </c>
    </row>
    <row r="141" spans="8:8">
      <c r="A141" s="52" t="s">
        <v>163</v>
      </c>
      <c r="B141" s="39" t="s">
        <v>10</v>
      </c>
      <c r="C141" s="40">
        <v>200.0</v>
      </c>
      <c r="D141" s="53">
        <v>0.0</v>
      </c>
      <c r="E141" s="53">
        <v>0.0</v>
      </c>
      <c r="F141" s="53">
        <v>10.0</v>
      </c>
      <c r="G141" s="53">
        <v>42.0</v>
      </c>
      <c r="H141" s="49">
        <v>0.009</v>
      </c>
      <c r="I141" s="49">
        <v>1.52</v>
      </c>
      <c r="J141" s="50"/>
      <c r="K141" s="49">
        <v>3.57</v>
      </c>
      <c r="L141" s="49">
        <v>0.66</v>
      </c>
      <c r="M141" s="49">
        <v>0.22</v>
      </c>
      <c r="N141" s="49">
        <v>0.34</v>
      </c>
      <c r="O141" s="2">
        <v>5.0</v>
      </c>
      <c r="P141" s="2">
        <f t="shared" si="23"/>
        <v>42.0</v>
      </c>
    </row>
    <row r="142" spans="8:8" ht="12.0" customHeight="1">
      <c r="A142" s="55"/>
      <c r="B142" s="118" t="s">
        <v>37</v>
      </c>
      <c r="C142" s="29">
        <v>20.0</v>
      </c>
      <c r="D142" s="49">
        <v>1.0</v>
      </c>
      <c r="E142" s="46">
        <v>0.08</v>
      </c>
      <c r="F142" s="49">
        <v>8.0</v>
      </c>
      <c r="G142" s="49">
        <v>38.52</v>
      </c>
      <c r="H142" s="29">
        <v>0.04</v>
      </c>
      <c r="I142" s="74"/>
      <c r="J142" s="74"/>
      <c r="K142" s="48">
        <v>8.0</v>
      </c>
      <c r="L142" s="74">
        <v>26.0</v>
      </c>
      <c r="M142" s="74">
        <v>5.6</v>
      </c>
      <c r="N142" s="29">
        <v>0.44</v>
      </c>
      <c r="O142" s="2">
        <v>2.8</v>
      </c>
      <c r="P142" s="2">
        <f t="shared" si="23"/>
        <v>38.519999999999996</v>
      </c>
    </row>
    <row r="143" spans="8:8">
      <c r="A143" s="164"/>
      <c r="B143" s="47"/>
      <c r="C143" s="105">
        <f>SUM(C137:C142)</f>
        <v>745.0</v>
      </c>
      <c r="D143" s="49"/>
      <c r="E143" s="46"/>
      <c r="F143" s="49"/>
      <c r="G143" s="49"/>
      <c r="H143" s="29"/>
      <c r="I143" s="74"/>
      <c r="J143" s="74"/>
      <c r="K143" s="48"/>
      <c r="L143" s="74"/>
      <c r="M143" s="74"/>
      <c r="N143" s="29"/>
      <c r="P143" s="2">
        <f t="shared" si="23"/>
        <v>0.0</v>
      </c>
    </row>
    <row r="144" spans="8:8">
      <c r="A144" s="160" t="s">
        <v>63</v>
      </c>
      <c r="B144" s="32" t="s">
        <v>9</v>
      </c>
      <c r="C144" s="33"/>
      <c r="D144" s="86">
        <f>D145+D152</f>
        <v>45.09</v>
      </c>
      <c r="E144" s="86">
        <f t="shared" si="24" ref="E144:O144">E145+E152</f>
        <v>46.26</v>
      </c>
      <c r="F144" s="86">
        <f t="shared" si="24"/>
        <v>160.64999999999998</v>
      </c>
      <c r="G144" s="86">
        <f>G145+G152</f>
        <v>1282.06</v>
      </c>
      <c r="H144" s="86">
        <f t="shared" si="24"/>
        <v>0.6000000000000001</v>
      </c>
      <c r="I144" s="86">
        <f t="shared" si="24"/>
        <v>71.45</v>
      </c>
      <c r="J144" s="86">
        <f t="shared" si="24"/>
        <v>0.34</v>
      </c>
      <c r="K144" s="86">
        <f t="shared" si="24"/>
        <v>281.49</v>
      </c>
      <c r="L144" s="86">
        <f t="shared" si="24"/>
        <v>332.28</v>
      </c>
      <c r="M144" s="86">
        <f t="shared" si="24"/>
        <v>76.59</v>
      </c>
      <c r="N144" s="86">
        <f t="shared" si="24"/>
        <v>10.55</v>
      </c>
      <c r="O144" s="87">
        <f t="shared" si="24"/>
        <v>160.7</v>
      </c>
      <c r="P144" s="165"/>
      <c r="Q144" s="165"/>
      <c r="R144" s="165"/>
      <c r="S144" s="166"/>
      <c r="T144" s="166"/>
      <c r="U144" s="166"/>
      <c r="V144" s="166"/>
      <c r="W144" s="166"/>
      <c r="X144" s="166"/>
      <c r="Y144" s="166"/>
      <c r="Z144" s="166"/>
      <c r="AA144" s="166"/>
      <c r="AB144" s="166"/>
      <c r="AC144" s="166"/>
      <c r="AD144" s="166"/>
      <c r="AE144" s="166"/>
      <c r="AF144" s="166"/>
      <c r="AG144" s="166"/>
      <c r="AH144" s="166"/>
      <c r="AI144" s="166"/>
      <c r="AJ144" s="166"/>
      <c r="AK144" s="167"/>
    </row>
    <row r="145" spans="8:8">
      <c r="A145" s="120"/>
      <c r="B145" s="37" t="s">
        <v>66</v>
      </c>
      <c r="C145" s="33"/>
      <c r="D145" s="86">
        <f>D146+D147+D148+D149+D150</f>
        <v>24.86</v>
      </c>
      <c r="E145" s="86">
        <f>E146+E147+E148+E149+E150</f>
        <v>13.040000000000001</v>
      </c>
      <c r="F145" s="86">
        <f>F146+F147+F148+F149+F150</f>
        <v>74.82</v>
      </c>
      <c r="G145" s="86">
        <f>G146+G147+G148+G149+G150</f>
        <v>536.82</v>
      </c>
      <c r="H145" s="86">
        <f t="shared" si="25" ref="H145:O145">H146+H147+H148+H150</f>
        <v>0.2</v>
      </c>
      <c r="I145" s="86">
        <f t="shared" si="25"/>
        <v>17.75</v>
      </c>
      <c r="J145" s="86">
        <f t="shared" si="25"/>
        <v>0.34</v>
      </c>
      <c r="K145" s="86">
        <f t="shared" si="25"/>
        <v>158.6</v>
      </c>
      <c r="L145" s="86">
        <f t="shared" si="25"/>
        <v>188.4</v>
      </c>
      <c r="M145" s="86">
        <f t="shared" si="25"/>
        <v>24.8</v>
      </c>
      <c r="N145" s="86">
        <f t="shared" si="25"/>
        <v>5.07</v>
      </c>
      <c r="O145" s="87">
        <f t="shared" si="25"/>
        <v>77.5</v>
      </c>
      <c r="P145" s="168">
        <f>(D145+F145)*4.2+E145*9</f>
        <v>536.016</v>
      </c>
      <c r="Q145" s="168"/>
      <c r="R145" s="168"/>
      <c r="S145" s="166"/>
      <c r="T145" s="166"/>
      <c r="U145" s="166"/>
      <c r="V145" s="166"/>
      <c r="W145" s="166"/>
      <c r="X145" s="166"/>
      <c r="Y145" s="166"/>
      <c r="Z145" s="166"/>
      <c r="AA145" s="166"/>
      <c r="AB145" s="166"/>
      <c r="AC145" s="166"/>
      <c r="AD145" s="166"/>
      <c r="AE145" s="166"/>
      <c r="AF145" s="166"/>
      <c r="AG145" s="166"/>
      <c r="AH145" s="166"/>
      <c r="AI145" s="166"/>
      <c r="AJ145" s="166"/>
      <c r="AK145" s="167"/>
    </row>
    <row r="146" spans="8:8">
      <c r="A146" s="38">
        <v>110.0</v>
      </c>
      <c r="B146" s="43" t="s">
        <v>156</v>
      </c>
      <c r="C146" s="48">
        <v>100.0</v>
      </c>
      <c r="D146" s="49">
        <v>17.83</v>
      </c>
      <c r="E146" s="49">
        <v>7.99</v>
      </c>
      <c r="F146" s="49">
        <v>4.25</v>
      </c>
      <c r="G146" s="49">
        <v>165.0</v>
      </c>
      <c r="H146" s="48">
        <v>0.11</v>
      </c>
      <c r="I146" s="169">
        <v>1.75</v>
      </c>
      <c r="J146" s="48">
        <v>0.34</v>
      </c>
      <c r="K146" s="48">
        <v>124.93</v>
      </c>
      <c r="L146" s="48">
        <v>188.4</v>
      </c>
      <c r="M146" s="48">
        <v>24.8</v>
      </c>
      <c r="N146" s="48">
        <v>1.03</v>
      </c>
      <c r="O146" s="2">
        <v>49.0</v>
      </c>
      <c r="P146" s="168">
        <f t="shared" si="26" ref="P146:P159">(D146+F146)*4.2+E146*9</f>
        <v>164.64600000000002</v>
      </c>
      <c r="Q146" s="140"/>
      <c r="R146" s="134"/>
      <c r="S146" s="134"/>
      <c r="T146" s="134"/>
      <c r="U146" s="134"/>
      <c r="V146" s="134"/>
      <c r="W146" s="145"/>
      <c r="X146" s="145"/>
      <c r="Y146" s="145"/>
      <c r="Z146" s="144"/>
      <c r="AA146" s="145"/>
      <c r="AB146" s="145"/>
      <c r="AC146" s="145"/>
      <c r="AD146" s="145"/>
      <c r="AE146" s="145"/>
      <c r="AF146" s="145"/>
      <c r="AG146" s="145"/>
      <c r="AH146" s="145"/>
      <c r="AI146" s="145"/>
      <c r="AJ146" s="145"/>
    </row>
    <row r="147" spans="8:8">
      <c r="A147" s="75" t="s">
        <v>170</v>
      </c>
      <c r="B147" s="45" t="s">
        <v>150</v>
      </c>
      <c r="C147" s="48">
        <v>150.0</v>
      </c>
      <c r="D147" s="49">
        <v>3.81</v>
      </c>
      <c r="E147" s="49">
        <v>2.72</v>
      </c>
      <c r="F147" s="49">
        <v>40.0</v>
      </c>
      <c r="G147" s="49">
        <v>208.48</v>
      </c>
      <c r="H147" s="25"/>
      <c r="I147" s="25"/>
      <c r="J147" s="25"/>
      <c r="K147" s="48">
        <v>0.47</v>
      </c>
      <c r="L147" s="22"/>
      <c r="M147" s="22"/>
      <c r="N147" s="48">
        <v>0.04</v>
      </c>
      <c r="O147" s="2">
        <v>2.5</v>
      </c>
      <c r="P147" s="168">
        <f t="shared" si="26"/>
        <v>208.482</v>
      </c>
      <c r="Q147" s="170"/>
      <c r="R147" s="134"/>
      <c r="S147" s="134"/>
      <c r="T147" s="134"/>
      <c r="U147" s="134"/>
      <c r="V147" s="134"/>
      <c r="W147" s="145"/>
      <c r="X147" s="144"/>
      <c r="Y147" s="144"/>
      <c r="Z147" s="145"/>
      <c r="AA147" s="145"/>
      <c r="AB147" s="145"/>
      <c r="AC147" s="145"/>
      <c r="AD147" s="145"/>
      <c r="AE147" s="145"/>
      <c r="AF147" s="145"/>
      <c r="AG147" s="145"/>
      <c r="AH147" s="145"/>
      <c r="AI147" s="145"/>
      <c r="AJ147" s="145"/>
    </row>
    <row r="148" spans="8:8">
      <c r="A148" s="55" t="s">
        <v>172</v>
      </c>
      <c r="B148" s="43" t="s">
        <v>157</v>
      </c>
      <c r="C148" s="29">
        <v>20.0</v>
      </c>
      <c r="D148" s="49">
        <v>0.18</v>
      </c>
      <c r="E148" s="46">
        <v>2.01</v>
      </c>
      <c r="F148" s="49">
        <v>0.89</v>
      </c>
      <c r="G148" s="49">
        <v>23.0</v>
      </c>
      <c r="H148" s="30">
        <v>0.04</v>
      </c>
      <c r="I148" s="25"/>
      <c r="J148" s="25"/>
      <c r="K148" s="48">
        <v>7.6</v>
      </c>
      <c r="L148" s="22"/>
      <c r="M148" s="22"/>
      <c r="N148" s="29">
        <v>0.48</v>
      </c>
      <c r="O148" s="2">
        <v>4.0</v>
      </c>
      <c r="P148" s="168">
        <f t="shared" si="26"/>
        <v>22.584</v>
      </c>
      <c r="Q148" s="140"/>
      <c r="R148" s="134"/>
      <c r="S148" s="134"/>
      <c r="T148" s="141"/>
      <c r="U148" s="134"/>
      <c r="V148" s="134"/>
      <c r="W148" s="145"/>
      <c r="X148" s="145"/>
      <c r="Y148" s="145"/>
      <c r="Z148" s="144"/>
      <c r="AA148" s="144"/>
      <c r="AB148" s="144"/>
      <c r="AC148" s="144"/>
      <c r="AD148" s="144"/>
      <c r="AE148" s="144"/>
      <c r="AF148" s="144"/>
      <c r="AG148" s="145"/>
      <c r="AH148" s="144"/>
      <c r="AI148" s="144"/>
      <c r="AJ148" s="145"/>
    </row>
    <row r="149" spans="8:8">
      <c r="A149" s="52" t="s">
        <v>163</v>
      </c>
      <c r="B149" s="43" t="s">
        <v>10</v>
      </c>
      <c r="C149" s="56">
        <v>200.0</v>
      </c>
      <c r="D149" s="49">
        <v>0.0</v>
      </c>
      <c r="E149" s="46">
        <v>0.0</v>
      </c>
      <c r="F149" s="49">
        <v>10.0</v>
      </c>
      <c r="G149" s="49">
        <v>42.0</v>
      </c>
      <c r="H149" s="30"/>
      <c r="I149" s="25"/>
      <c r="J149" s="25"/>
      <c r="K149" s="48"/>
      <c r="L149" s="22"/>
      <c r="M149" s="22"/>
      <c r="N149" s="29"/>
      <c r="P149" s="168">
        <f t="shared" si="26"/>
        <v>42.0</v>
      </c>
      <c r="Q149" s="140"/>
      <c r="R149" s="134"/>
      <c r="S149" s="134"/>
      <c r="T149" s="141"/>
      <c r="U149" s="134"/>
      <c r="V149" s="134"/>
      <c r="W149" s="145"/>
      <c r="X149" s="145"/>
      <c r="Y149" s="145"/>
      <c r="Z149" s="144"/>
      <c r="AA149" s="144"/>
      <c r="AB149" s="144"/>
      <c r="AC149" s="144"/>
      <c r="AD149" s="144"/>
      <c r="AE149" s="144"/>
      <c r="AF149" s="144"/>
      <c r="AG149" s="145"/>
      <c r="AH149" s="144"/>
      <c r="AI149" s="144"/>
      <c r="AJ149" s="145"/>
    </row>
    <row r="150" spans="8:8">
      <c r="A150" s="57"/>
      <c r="B150" s="114" t="s">
        <v>11</v>
      </c>
      <c r="C150" s="59">
        <v>40.0</v>
      </c>
      <c r="D150" s="60">
        <v>3.04</v>
      </c>
      <c r="E150" s="61">
        <v>0.32</v>
      </c>
      <c r="F150" s="60">
        <v>19.68</v>
      </c>
      <c r="G150" s="60">
        <v>98.34</v>
      </c>
      <c r="H150" s="62">
        <v>0.05</v>
      </c>
      <c r="I150" s="63">
        <v>16.0</v>
      </c>
      <c r="J150" s="64"/>
      <c r="K150" s="171">
        <v>25.6</v>
      </c>
      <c r="L150" s="172"/>
      <c r="M150" s="172"/>
      <c r="N150" s="171">
        <v>3.52</v>
      </c>
      <c r="O150" s="2">
        <v>22.0</v>
      </c>
      <c r="P150" s="168">
        <f t="shared" si="26"/>
        <v>98.304</v>
      </c>
      <c r="Q150" s="140"/>
      <c r="R150" s="128"/>
      <c r="S150" s="134"/>
      <c r="T150" s="128"/>
      <c r="U150" s="134"/>
      <c r="V150" s="134"/>
      <c r="W150" s="147"/>
      <c r="X150" s="144"/>
      <c r="Y150" s="144"/>
      <c r="Z150" s="144"/>
      <c r="AA150" s="144"/>
      <c r="AB150" s="144"/>
      <c r="AC150" s="144"/>
      <c r="AD150" s="144"/>
      <c r="AE150" s="144"/>
      <c r="AF150" s="144"/>
      <c r="AG150" s="145"/>
      <c r="AH150" s="144"/>
      <c r="AI150" s="144"/>
      <c r="AJ150" s="147"/>
    </row>
    <row r="151" spans="8:8">
      <c r="A151" s="44"/>
      <c r="B151" s="47"/>
      <c r="C151" s="156">
        <f>SUM(C146:C150)</f>
        <v>510.0</v>
      </c>
      <c r="D151" s="49"/>
      <c r="E151" s="46"/>
      <c r="F151" s="49"/>
      <c r="G151" s="49"/>
      <c r="H151" s="30"/>
      <c r="I151" s="25"/>
      <c r="J151" s="25"/>
      <c r="K151" s="54"/>
      <c r="L151" s="25"/>
      <c r="M151" s="25"/>
      <c r="N151" s="30"/>
      <c r="P151" s="168">
        <f t="shared" si="26"/>
        <v>0.0</v>
      </c>
      <c r="Q151" s="173"/>
      <c r="R151" s="174"/>
      <c r="S151" s="175"/>
      <c r="T151" s="176"/>
      <c r="U151" s="175"/>
      <c r="V151" s="175"/>
      <c r="W151" s="177"/>
      <c r="X151" s="178"/>
      <c r="Y151" s="178"/>
      <c r="Z151" s="179"/>
      <c r="AA151" s="179"/>
      <c r="AB151" s="179"/>
      <c r="AC151" s="179"/>
      <c r="AD151" s="179"/>
      <c r="AE151" s="179"/>
      <c r="AF151" s="179"/>
      <c r="AG151" s="178"/>
      <c r="AH151" s="179"/>
      <c r="AI151" s="179"/>
      <c r="AJ151" s="178"/>
    </row>
    <row r="152" spans="8:8">
      <c r="A152" s="44"/>
      <c r="B152" s="67" t="s">
        <v>67</v>
      </c>
      <c r="C152" s="68"/>
      <c r="D152" s="86">
        <f>D153+D154+D155+D156+D157+D158</f>
        <v>20.23</v>
      </c>
      <c r="E152" s="86">
        <f t="shared" si="27" ref="E152:O152">E153+E154+E155+E156+E157+E158</f>
        <v>33.22</v>
      </c>
      <c r="F152" s="86">
        <f t="shared" si="27"/>
        <v>85.83</v>
      </c>
      <c r="G152" s="86">
        <f>G153+G154+G155+G156+G157+G158</f>
        <v>745.24</v>
      </c>
      <c r="H152" s="86">
        <f t="shared" si="27"/>
        <v>0.39999999999999997</v>
      </c>
      <c r="I152" s="86">
        <f t="shared" si="27"/>
        <v>53.7</v>
      </c>
      <c r="J152" s="86">
        <f t="shared" si="27"/>
        <v>0.0</v>
      </c>
      <c r="K152" s="86">
        <f t="shared" si="27"/>
        <v>122.89</v>
      </c>
      <c r="L152" s="86">
        <f t="shared" si="27"/>
        <v>143.88</v>
      </c>
      <c r="M152" s="86">
        <f t="shared" si="27"/>
        <v>51.79</v>
      </c>
      <c r="N152" s="86">
        <f t="shared" si="27"/>
        <v>5.48</v>
      </c>
      <c r="O152" s="87">
        <f t="shared" si="27"/>
        <v>83.2</v>
      </c>
      <c r="P152" s="168">
        <f t="shared" si="26"/>
        <v>744.432</v>
      </c>
      <c r="Q152" s="173"/>
      <c r="R152" s="174"/>
      <c r="S152" s="175"/>
      <c r="T152" s="176"/>
      <c r="U152" s="175"/>
      <c r="V152" s="175"/>
      <c r="W152" s="177"/>
      <c r="X152" s="178"/>
      <c r="Y152" s="178"/>
      <c r="Z152" s="179"/>
      <c r="AA152" s="179"/>
      <c r="AB152" s="179"/>
      <c r="AC152" s="179"/>
      <c r="AD152" s="179"/>
      <c r="AE152" s="179"/>
      <c r="AF152" s="179"/>
      <c r="AG152" s="178"/>
      <c r="AH152" s="179"/>
      <c r="AI152" s="179"/>
      <c r="AJ152" s="178"/>
    </row>
    <row r="153" spans="8:8">
      <c r="A153" s="107" t="s">
        <v>174</v>
      </c>
      <c r="B153" s="88" t="s">
        <v>142</v>
      </c>
      <c r="C153" s="74">
        <v>60.0</v>
      </c>
      <c r="D153" s="108">
        <v>0.74</v>
      </c>
      <c r="E153" s="108">
        <v>0.06</v>
      </c>
      <c r="F153" s="108">
        <v>6.92</v>
      </c>
      <c r="G153" s="108">
        <v>33.0</v>
      </c>
      <c r="H153" s="54">
        <v>0.04</v>
      </c>
      <c r="I153" s="54">
        <v>15.0</v>
      </c>
      <c r="J153" s="50"/>
      <c r="K153" s="54">
        <v>8.4</v>
      </c>
      <c r="L153" s="54"/>
      <c r="M153" s="54"/>
      <c r="N153" s="54">
        <v>0.54</v>
      </c>
      <c r="O153" s="2">
        <v>10.9</v>
      </c>
      <c r="P153" s="168">
        <f t="shared" si="26"/>
        <v>32.711999999999996</v>
      </c>
      <c r="Q153" s="173"/>
      <c r="R153" s="174"/>
      <c r="S153" s="175"/>
      <c r="T153" s="176"/>
      <c r="U153" s="175"/>
      <c r="V153" s="175"/>
      <c r="W153" s="177"/>
      <c r="X153" s="178"/>
      <c r="Y153" s="178"/>
      <c r="Z153" s="179"/>
      <c r="AA153" s="179"/>
      <c r="AB153" s="179"/>
      <c r="AC153" s="179"/>
      <c r="AD153" s="179"/>
      <c r="AE153" s="179"/>
      <c r="AF153" s="179"/>
      <c r="AG153" s="178"/>
      <c r="AH153" s="179"/>
      <c r="AI153" s="179"/>
      <c r="AJ153" s="178"/>
    </row>
    <row r="154" spans="8:8">
      <c r="A154" s="80" t="s">
        <v>101</v>
      </c>
      <c r="B154" s="45" t="s">
        <v>193</v>
      </c>
      <c r="C154" s="29">
        <v>200.0</v>
      </c>
      <c r="D154" s="46">
        <f>5.81-0.9</f>
        <v>4.909999999999999</v>
      </c>
      <c r="E154" s="46">
        <f>11.82-0.81</f>
        <v>11.01</v>
      </c>
      <c r="F154" s="46">
        <f>15.48-0.05</f>
        <v>15.43</v>
      </c>
      <c r="G154" s="46">
        <f>196-11.17</f>
        <v>184.83</v>
      </c>
      <c r="H154" s="46" t="s">
        <v>45</v>
      </c>
      <c r="I154" s="46" t="s">
        <v>102</v>
      </c>
      <c r="J154" s="50"/>
      <c r="K154" s="46" t="s">
        <v>103</v>
      </c>
      <c r="L154" s="46" t="s">
        <v>104</v>
      </c>
      <c r="M154" s="46" t="s">
        <v>105</v>
      </c>
      <c r="N154" s="46" t="s">
        <v>106</v>
      </c>
      <c r="O154" s="2">
        <v>9.6</v>
      </c>
      <c r="P154" s="168">
        <f t="shared" si="26"/>
        <v>184.518</v>
      </c>
      <c r="Q154" s="173"/>
      <c r="R154" s="174"/>
      <c r="S154" s="175"/>
      <c r="T154" s="176"/>
      <c r="U154" s="175"/>
      <c r="V154" s="175"/>
      <c r="W154" s="177"/>
      <c r="X154" s="178"/>
      <c r="Y154" s="178"/>
      <c r="Z154" s="179"/>
      <c r="AA154" s="179"/>
      <c r="AB154" s="179"/>
      <c r="AC154" s="179"/>
      <c r="AD154" s="179"/>
      <c r="AE154" s="179"/>
      <c r="AF154" s="179"/>
      <c r="AG154" s="178"/>
      <c r="AH154" s="179"/>
      <c r="AI154" s="179"/>
      <c r="AJ154" s="178"/>
    </row>
    <row r="155" spans="8:8">
      <c r="A155" s="44">
        <v>298.0</v>
      </c>
      <c r="B155" s="45" t="s">
        <v>144</v>
      </c>
      <c r="C155" s="29">
        <v>105.0</v>
      </c>
      <c r="D155" s="46">
        <v>6.14</v>
      </c>
      <c r="E155" s="46">
        <v>11.91</v>
      </c>
      <c r="F155" s="46">
        <v>10.92</v>
      </c>
      <c r="G155" s="46">
        <v>178.84</v>
      </c>
      <c r="H155" s="46" t="s">
        <v>84</v>
      </c>
      <c r="I155" s="46" t="s">
        <v>112</v>
      </c>
      <c r="J155" s="50"/>
      <c r="K155" s="46" t="s">
        <v>113</v>
      </c>
      <c r="L155" s="46" t="s">
        <v>114</v>
      </c>
      <c r="M155" s="46" t="s">
        <v>115</v>
      </c>
      <c r="N155" s="46" t="s">
        <v>116</v>
      </c>
      <c r="O155" s="2">
        <v>35.7</v>
      </c>
      <c r="P155" s="168">
        <f t="shared" si="26"/>
        <v>178.84199999999998</v>
      </c>
      <c r="Q155" s="173"/>
      <c r="R155" s="174"/>
      <c r="S155" s="175"/>
      <c r="T155" s="176"/>
      <c r="U155" s="175"/>
      <c r="V155" s="175"/>
      <c r="W155" s="177"/>
      <c r="X155" s="178"/>
      <c r="Y155" s="178"/>
      <c r="Z155" s="179"/>
      <c r="AA155" s="179"/>
      <c r="AB155" s="179"/>
      <c r="AC155" s="179"/>
      <c r="AD155" s="179"/>
      <c r="AE155" s="179"/>
      <c r="AF155" s="179"/>
      <c r="AG155" s="178"/>
      <c r="AH155" s="179"/>
      <c r="AI155" s="179"/>
      <c r="AJ155" s="178"/>
    </row>
    <row r="156" spans="8:8" ht="12.0" customHeight="1">
      <c r="A156" s="102" t="s">
        <v>132</v>
      </c>
      <c r="B156" s="43" t="s">
        <v>133</v>
      </c>
      <c r="C156" s="48">
        <v>150.0</v>
      </c>
      <c r="D156" s="49">
        <v>5.77</v>
      </c>
      <c r="E156" s="49">
        <v>10.08</v>
      </c>
      <c r="F156" s="49">
        <v>30.69</v>
      </c>
      <c r="G156" s="49">
        <v>244.0</v>
      </c>
      <c r="H156" s="48">
        <v>0.08</v>
      </c>
      <c r="I156" s="48">
        <v>17.8</v>
      </c>
      <c r="J156" s="74"/>
      <c r="K156" s="48">
        <v>53.08</v>
      </c>
      <c r="L156" s="48">
        <v>64.28</v>
      </c>
      <c r="M156" s="48">
        <v>23.23</v>
      </c>
      <c r="N156" s="48">
        <v>0.86</v>
      </c>
      <c r="O156" s="2">
        <v>17.0</v>
      </c>
      <c r="P156" s="168">
        <f t="shared" si="26"/>
        <v>243.852</v>
      </c>
      <c r="Q156" s="173"/>
      <c r="R156" s="174"/>
      <c r="S156" s="175"/>
      <c r="T156" s="176"/>
      <c r="U156" s="175"/>
      <c r="V156" s="175"/>
      <c r="W156" s="177"/>
      <c r="X156" s="178"/>
      <c r="Y156" s="178"/>
      <c r="Z156" s="179"/>
      <c r="AA156" s="179"/>
      <c r="AB156" s="179"/>
      <c r="AC156" s="179"/>
      <c r="AD156" s="179"/>
      <c r="AE156" s="179"/>
      <c r="AF156" s="179"/>
      <c r="AG156" s="178"/>
      <c r="AH156" s="179"/>
      <c r="AI156" s="179"/>
      <c r="AJ156" s="178"/>
    </row>
    <row r="157" spans="8:8">
      <c r="A157" s="116" t="s">
        <v>42</v>
      </c>
      <c r="B157" s="43" t="s">
        <v>201</v>
      </c>
      <c r="C157" s="48">
        <v>200.0</v>
      </c>
      <c r="D157" s="49">
        <v>1.15</v>
      </c>
      <c r="E157" s="117"/>
      <c r="F157" s="49">
        <v>12.03</v>
      </c>
      <c r="G157" s="49">
        <v>55.4</v>
      </c>
      <c r="H157" s="46" t="s">
        <v>91</v>
      </c>
      <c r="I157" s="49" t="s">
        <v>92</v>
      </c>
      <c r="J157" s="50"/>
      <c r="K157" s="49" t="s">
        <v>93</v>
      </c>
      <c r="L157" s="50"/>
      <c r="M157" s="50"/>
      <c r="N157" s="46" t="s">
        <v>94</v>
      </c>
      <c r="O157" s="2">
        <v>7.0</v>
      </c>
      <c r="P157" s="168">
        <f t="shared" si="26"/>
        <v>55.356</v>
      </c>
      <c r="Q157" s="173"/>
      <c r="R157" s="174"/>
      <c r="S157" s="175"/>
      <c r="T157" s="176"/>
      <c r="U157" s="175"/>
      <c r="V157" s="175"/>
      <c r="W157" s="177"/>
      <c r="X157" s="178"/>
      <c r="Y157" s="178"/>
      <c r="Z157" s="179"/>
      <c r="AA157" s="179"/>
      <c r="AB157" s="179"/>
      <c r="AC157" s="179"/>
      <c r="AD157" s="179"/>
      <c r="AE157" s="179"/>
      <c r="AF157" s="179"/>
      <c r="AG157" s="178"/>
      <c r="AH157" s="179"/>
      <c r="AI157" s="179"/>
      <c r="AJ157" s="178"/>
    </row>
    <row r="158" spans="8:8">
      <c r="A158" s="55"/>
      <c r="B158" s="118" t="s">
        <v>11</v>
      </c>
      <c r="C158" s="29">
        <v>20.0</v>
      </c>
      <c r="D158" s="49">
        <v>1.52</v>
      </c>
      <c r="E158" s="46">
        <v>0.16</v>
      </c>
      <c r="F158" s="49">
        <v>9.84</v>
      </c>
      <c r="G158" s="49">
        <v>49.17</v>
      </c>
      <c r="H158" s="46">
        <v>0.04</v>
      </c>
      <c r="I158" s="50"/>
      <c r="J158" s="50"/>
      <c r="K158" s="49">
        <v>7.25</v>
      </c>
      <c r="L158" s="50">
        <v>32.5</v>
      </c>
      <c r="M158" s="50">
        <v>10.5</v>
      </c>
      <c r="N158" s="46">
        <v>0.9</v>
      </c>
      <c r="O158" s="2">
        <v>3.0</v>
      </c>
      <c r="P158" s="168">
        <f t="shared" si="26"/>
        <v>49.152</v>
      </c>
      <c r="Q158" s="173"/>
      <c r="R158" s="174"/>
      <c r="S158" s="175"/>
      <c r="T158" s="176"/>
      <c r="U158" s="175"/>
      <c r="V158" s="175"/>
      <c r="W158" s="177"/>
      <c r="X158" s="178"/>
      <c r="Y158" s="178"/>
      <c r="Z158" s="179"/>
      <c r="AA158" s="179"/>
      <c r="AB158" s="179"/>
      <c r="AC158" s="179"/>
      <c r="AD158" s="179"/>
      <c r="AE158" s="179"/>
      <c r="AF158" s="179"/>
      <c r="AG158" s="178"/>
      <c r="AH158" s="179"/>
      <c r="AI158" s="179"/>
      <c r="AJ158" s="178"/>
    </row>
    <row r="159" spans="8:8">
      <c r="A159" s="44"/>
      <c r="B159" s="180"/>
      <c r="C159" s="181">
        <f>SUM(C153:C158)</f>
        <v>735.0</v>
      </c>
      <c r="D159" s="182"/>
      <c r="E159" s="182"/>
      <c r="F159" s="182"/>
      <c r="G159" s="182"/>
      <c r="H159" s="180"/>
      <c r="I159" s="180"/>
      <c r="J159" s="180"/>
      <c r="K159" s="180"/>
      <c r="L159" s="180"/>
      <c r="M159" s="180"/>
      <c r="N159" s="180"/>
      <c r="P159" s="168">
        <f t="shared" si="26"/>
        <v>0.0</v>
      </c>
      <c r="Q159" s="173"/>
      <c r="R159" s="174"/>
      <c r="S159" s="175"/>
      <c r="T159" s="176"/>
      <c r="U159" s="175"/>
      <c r="V159" s="175"/>
      <c r="W159" s="177"/>
      <c r="X159" s="178"/>
      <c r="Y159" s="178"/>
      <c r="Z159" s="179"/>
      <c r="AA159" s="179"/>
      <c r="AB159" s="179"/>
      <c r="AC159" s="179"/>
      <c r="AD159" s="179"/>
      <c r="AE159" s="179"/>
      <c r="AF159" s="179"/>
      <c r="AG159" s="178"/>
      <c r="AH159" s="179"/>
      <c r="AI159" s="179"/>
      <c r="AJ159" s="178"/>
    </row>
  </sheetData>
  <mergeCells count="36">
    <mergeCell ref="P144:R144"/>
    <mergeCell ref="B145:C145"/>
    <mergeCell ref="B152:C152"/>
    <mergeCell ref="B144:C144"/>
    <mergeCell ref="A98:C98"/>
    <mergeCell ref="B17:C17"/>
    <mergeCell ref="B114:C114"/>
    <mergeCell ref="D3:F3"/>
    <mergeCell ref="B91:C91"/>
    <mergeCell ref="B6:C6"/>
    <mergeCell ref="B129:C129"/>
    <mergeCell ref="C1:J2"/>
    <mergeCell ref="B105:C105"/>
    <mergeCell ref="K3:N3"/>
    <mergeCell ref="B136:C136"/>
    <mergeCell ref="B40:C40"/>
    <mergeCell ref="B113:C113"/>
    <mergeCell ref="B56:C56"/>
    <mergeCell ref="B55:C55"/>
    <mergeCell ref="B46:C46"/>
    <mergeCell ref="B128:C128"/>
    <mergeCell ref="B24:C24"/>
    <mergeCell ref="B84:C84"/>
    <mergeCell ref="B39:C39"/>
    <mergeCell ref="B70:C70"/>
    <mergeCell ref="B7:C7"/>
    <mergeCell ref="B99:C99"/>
    <mergeCell ref="G3:G4"/>
    <mergeCell ref="H3:I3"/>
    <mergeCell ref="B120:C120"/>
    <mergeCell ref="B31:C31"/>
    <mergeCell ref="B85:C85"/>
    <mergeCell ref="B25:C25"/>
    <mergeCell ref="B76:C76"/>
    <mergeCell ref="B62:C62"/>
    <mergeCell ref="B69:C69"/>
  </mergeCells>
  <pageMargins left="0.75" right="0.75" top="1.0" bottom="1.0" header="0.5" footer="0.5"/>
  <pageSetup paperSize="9" fitToHeight="0"/>
  <headerFooter alignWithMargins="0"/>
</worksheet>
</file>

<file path=xl/worksheets/sheet2.xml><?xml version="1.0" encoding="utf-8"?>
<worksheet xmlns:r="http://schemas.openxmlformats.org/officeDocument/2006/relationships" xmlns="http://schemas.openxmlformats.org/spreadsheetml/2006/main">
  <sheetPr>
    <tabColor rgb="FF66FFFF"/>
    <pageSetUpPr fitToPage="1"/>
  </sheetPr>
  <dimension ref="A1:AN161"/>
  <sheetViews>
    <sheetView workbookViewId="0" zoomScale="136">
      <selection activeCell="B2" sqref="B2"/>
    </sheetView>
  </sheetViews>
  <sheetFormatPr defaultRowHeight="12.75" defaultColWidth="10"/>
  <cols>
    <col min="1" max="1" customWidth="1" width="11.0" style="1"/>
    <col min="2" max="2" customWidth="1" width="32.85547" style="2"/>
    <col min="3" max="3" customWidth="1" width="7.8554688" style="2"/>
    <col min="4" max="4" customWidth="1" width="7.2851562" style="2"/>
    <col min="5" max="5" customWidth="1" width="7.7109375" style="2"/>
    <col min="6" max="6" customWidth="1" width="7.4257812" style="2"/>
    <col min="7" max="7" customWidth="1" width="8.5703125" style="2"/>
    <col min="8" max="8" hidden="1" customWidth="1" width="5.5703125" style="2"/>
    <col min="9" max="9" hidden="1" customWidth="1" width="6.5703125" style="2"/>
    <col min="10" max="10" hidden="1" customWidth="1" width="7.4257812" style="2"/>
    <col min="11" max="11" hidden="1" customWidth="1" width="7.0" style="2"/>
    <col min="12" max="12" hidden="1" customWidth="1" width="6.7109375" style="2"/>
    <col min="13" max="13" hidden="1" customWidth="1" width="6.2851562" style="2"/>
    <col min="14" max="14" hidden="1" customWidth="1" width="5.8554688" style="2"/>
    <col min="15" max="16" hidden="1" customWidth="1" width="9.140625" style="2"/>
    <col min="17" max="17" hidden="1" customWidth="1" width="14.285156" style="2"/>
    <col min="18" max="18" hidden="1" customWidth="1" width="0.0" style="2"/>
    <col min="19" max="16384" customWidth="0" width="9.140625" style="2"/>
  </cols>
  <sheetData>
    <row r="1" spans="8:8">
      <c r="B1" s="2" t="s">
        <v>196</v>
      </c>
      <c r="C1" s="3" t="s">
        <v>176</v>
      </c>
      <c r="D1" s="3"/>
      <c r="E1" s="3"/>
      <c r="F1" s="3"/>
      <c r="G1" s="3"/>
      <c r="H1" s="3"/>
      <c r="I1" s="3"/>
      <c r="J1" s="3"/>
    </row>
    <row r="2" spans="8:8">
      <c r="B2" s="2" t="s">
        <v>194</v>
      </c>
      <c r="C2" s="4"/>
      <c r="D2" s="4"/>
      <c r="E2" s="4"/>
      <c r="F2" s="4"/>
      <c r="G2" s="4"/>
      <c r="H2" s="4"/>
      <c r="I2" s="4"/>
      <c r="J2" s="4"/>
    </row>
    <row r="3" spans="8:8" ht="33.75" customHeight="1">
      <c r="A3" s="5" t="s">
        <v>0</v>
      </c>
      <c r="B3" s="6" t="s">
        <v>6</v>
      </c>
      <c r="C3" s="7" t="s">
        <v>14</v>
      </c>
      <c r="D3" s="8" t="s">
        <v>16</v>
      </c>
      <c r="E3" s="9"/>
      <c r="F3" s="10"/>
      <c r="G3" s="11" t="s">
        <v>23</v>
      </c>
      <c r="H3" s="12" t="s">
        <v>53</v>
      </c>
      <c r="I3" s="13"/>
      <c r="J3" s="14" t="s">
        <v>52</v>
      </c>
      <c r="K3" s="15" t="s">
        <v>75</v>
      </c>
      <c r="L3" s="16"/>
      <c r="M3" s="16"/>
      <c r="N3" s="17"/>
    </row>
    <row r="4" spans="8:8" ht="34.5" customHeight="1">
      <c r="A4" s="18" t="s">
        <v>1</v>
      </c>
      <c r="B4" s="19" t="s">
        <v>7</v>
      </c>
      <c r="C4" s="20" t="s">
        <v>61</v>
      </c>
      <c r="D4" s="21" t="s">
        <v>17</v>
      </c>
      <c r="E4" s="21" t="s">
        <v>19</v>
      </c>
      <c r="F4" s="22" t="s">
        <v>21</v>
      </c>
      <c r="G4" s="23"/>
      <c r="H4" s="24" t="s">
        <v>54</v>
      </c>
      <c r="I4" s="25" t="s">
        <v>55</v>
      </c>
      <c r="J4" s="26" t="s">
        <v>56</v>
      </c>
      <c r="K4" s="24" t="s">
        <v>57</v>
      </c>
      <c r="L4" s="24" t="s">
        <v>58</v>
      </c>
      <c r="M4" s="24" t="s">
        <v>59</v>
      </c>
      <c r="N4" s="24" t="s">
        <v>60</v>
      </c>
    </row>
    <row r="5" spans="8:8">
      <c r="A5" s="27" t="s">
        <v>2</v>
      </c>
      <c r="B5" s="28" t="s">
        <v>8</v>
      </c>
      <c r="C5" s="29" t="s">
        <v>15</v>
      </c>
      <c r="D5" s="28" t="s">
        <v>18</v>
      </c>
      <c r="E5" s="29" t="s">
        <v>20</v>
      </c>
      <c r="F5" s="29" t="s">
        <v>22</v>
      </c>
      <c r="G5" s="29" t="s">
        <v>24</v>
      </c>
      <c r="H5" s="30" t="s">
        <v>25</v>
      </c>
      <c r="I5" s="30" t="s">
        <v>26</v>
      </c>
      <c r="J5" s="30">
        <v>11.0</v>
      </c>
      <c r="K5" s="30">
        <v>18.0</v>
      </c>
      <c r="L5" s="30">
        <v>19.0</v>
      </c>
      <c r="M5" s="30">
        <v>20.0</v>
      </c>
      <c r="N5" s="30">
        <v>21.0</v>
      </c>
    </row>
    <row r="6" spans="8:8">
      <c r="A6" s="31" t="s">
        <v>3</v>
      </c>
      <c r="B6" s="32" t="s">
        <v>13</v>
      </c>
      <c r="C6" s="33"/>
      <c r="D6" s="34">
        <f>D7+D17</f>
        <v>46.0329</v>
      </c>
      <c r="E6" s="34">
        <f t="shared" si="0" ref="E6:O6">E7+E17</f>
        <v>55.8821</v>
      </c>
      <c r="F6" s="34">
        <f t="shared" si="0"/>
        <v>208.61605</v>
      </c>
      <c r="G6" s="34">
        <f>G7+G17</f>
        <v>1576.0575</v>
      </c>
      <c r="H6" s="34">
        <f t="shared" si="0"/>
        <v>0.55</v>
      </c>
      <c r="I6" s="34">
        <f t="shared" si="0"/>
        <v>41.79</v>
      </c>
      <c r="J6" s="34">
        <f t="shared" si="0"/>
        <v>20.0</v>
      </c>
      <c r="K6" s="34">
        <f t="shared" si="0"/>
        <v>471.98</v>
      </c>
      <c r="L6" s="34">
        <f t="shared" si="0"/>
        <v>138.25</v>
      </c>
      <c r="M6" s="34">
        <f t="shared" si="0"/>
        <v>86.35</v>
      </c>
      <c r="N6" s="34">
        <f t="shared" si="0"/>
        <v>10.61</v>
      </c>
      <c r="O6" s="35">
        <f t="shared" si="0"/>
        <v>139.3</v>
      </c>
    </row>
    <row r="7" spans="8:8">
      <c r="A7" s="36"/>
      <c r="B7" s="183" t="s">
        <v>66</v>
      </c>
      <c r="C7" s="183"/>
      <c r="D7" s="34">
        <f>D8+D9+D10+D11+D12+D13</f>
        <v>19.1925</v>
      </c>
      <c r="E7" s="34">
        <f>E8+E9+E10+E11+E12+E13</f>
        <v>26.0825</v>
      </c>
      <c r="F7" s="34">
        <f>F8+F9+F10+F11+F12+F13</f>
        <v>105.54750000000001</v>
      </c>
      <c r="G7" s="34">
        <f>G8+G9+G10+G11+G12+G13</f>
        <v>759.97</v>
      </c>
      <c r="H7" s="34">
        <f t="shared" si="1" ref="H7:N7">H11+H12+H13+H14+H15</f>
        <v>0.3</v>
      </c>
      <c r="I7" s="34">
        <f t="shared" si="1"/>
        <v>18.31</v>
      </c>
      <c r="J7" s="34">
        <f t="shared" si="1"/>
        <v>20.0</v>
      </c>
      <c r="K7" s="34">
        <f t="shared" si="1"/>
        <v>347.5</v>
      </c>
      <c r="L7" s="34">
        <f t="shared" si="1"/>
        <v>2.87</v>
      </c>
      <c r="M7" s="34">
        <f t="shared" si="1"/>
        <v>40.04</v>
      </c>
      <c r="N7" s="34">
        <f t="shared" si="1"/>
        <v>5.79</v>
      </c>
      <c r="O7" s="35">
        <f>O11+O12+O13+O14+O15</f>
        <v>69.7</v>
      </c>
      <c r="Q7" s="2">
        <v>470.0</v>
      </c>
    </row>
    <row r="8" spans="8:8">
      <c r="A8" s="38" t="s">
        <v>162</v>
      </c>
      <c r="B8" s="148" t="s">
        <v>35</v>
      </c>
      <c r="C8" s="40">
        <v>10.0</v>
      </c>
      <c r="D8" s="41">
        <v>2.6</v>
      </c>
      <c r="E8" s="41">
        <v>2.65</v>
      </c>
      <c r="F8" s="41">
        <v>0.35</v>
      </c>
      <c r="G8" s="41">
        <v>36.24</v>
      </c>
      <c r="H8" s="34"/>
      <c r="I8" s="34"/>
      <c r="J8" s="34"/>
      <c r="K8" s="34"/>
      <c r="L8" s="34"/>
      <c r="M8" s="34"/>
      <c r="N8" s="34"/>
      <c r="O8" s="42"/>
      <c r="P8" s="2">
        <f>(D8+F8)*4.2+E8*9</f>
        <v>36.24</v>
      </c>
    </row>
    <row r="9" spans="8:8">
      <c r="A9" s="38" t="s">
        <v>160</v>
      </c>
      <c r="B9" s="47" t="s">
        <v>135</v>
      </c>
      <c r="C9" s="40">
        <v>5.0</v>
      </c>
      <c r="D9" s="41">
        <v>0.05</v>
      </c>
      <c r="E9" s="41">
        <v>3.63</v>
      </c>
      <c r="F9" s="41">
        <v>0.07</v>
      </c>
      <c r="G9" s="41">
        <v>33.11</v>
      </c>
      <c r="H9" s="34"/>
      <c r="I9" s="34"/>
      <c r="J9" s="34"/>
      <c r="K9" s="34"/>
      <c r="L9" s="34"/>
      <c r="M9" s="34"/>
      <c r="N9" s="34"/>
      <c r="O9" s="42"/>
      <c r="P9" s="2">
        <f t="shared" si="2" ref="P9:P72">(D9+F9)*4.2+E9*9</f>
        <v>33.174</v>
      </c>
    </row>
    <row r="10" spans="8:8" ht="24.0">
      <c r="A10" s="44" t="s">
        <v>161</v>
      </c>
      <c r="B10" s="45" t="s">
        <v>182</v>
      </c>
      <c r="C10" s="29">
        <v>255.0</v>
      </c>
      <c r="D10" s="46">
        <f>6.81*1.25</f>
        <v>8.5125</v>
      </c>
      <c r="E10" s="46">
        <f>10.45*1.25</f>
        <v>13.0625</v>
      </c>
      <c r="F10" s="46">
        <f>29.51*1.25</f>
        <v>36.8875</v>
      </c>
      <c r="G10" s="46">
        <f>246.6*1.25</f>
        <v>308.25</v>
      </c>
      <c r="H10" s="34"/>
      <c r="I10" s="34"/>
      <c r="J10" s="34"/>
      <c r="K10" s="34"/>
      <c r="L10" s="34"/>
      <c r="M10" s="34"/>
      <c r="N10" s="34"/>
      <c r="O10" s="42"/>
      <c r="P10" s="2">
        <f t="shared" si="2"/>
        <v>308.2425</v>
      </c>
    </row>
    <row r="11" spans="8:8">
      <c r="A11" s="44"/>
      <c r="B11" s="47" t="s">
        <v>62</v>
      </c>
      <c r="C11" s="48">
        <v>40.0</v>
      </c>
      <c r="D11" s="49">
        <f>1.5*3/1.5</f>
        <v>3.0</v>
      </c>
      <c r="E11" s="50">
        <f>2.36*3/1.5</f>
        <v>4.72</v>
      </c>
      <c r="F11" s="49">
        <f>14.98*3/1.5</f>
        <v>29.959999999999997</v>
      </c>
      <c r="G11" s="49">
        <f>91*3/1.5</f>
        <v>182.0</v>
      </c>
      <c r="H11" s="51" t="s">
        <v>45</v>
      </c>
      <c r="I11" s="51" t="s">
        <v>44</v>
      </c>
      <c r="J11" s="51" t="s">
        <v>46</v>
      </c>
      <c r="K11" s="51" t="s">
        <v>47</v>
      </c>
      <c r="L11" s="51" t="s">
        <v>48</v>
      </c>
      <c r="M11" s="51" t="s">
        <v>49</v>
      </c>
      <c r="N11" s="51" t="s">
        <v>50</v>
      </c>
      <c r="O11" s="2">
        <v>15.0</v>
      </c>
      <c r="P11" s="2">
        <f t="shared" si="2"/>
        <v>180.91199999999998</v>
      </c>
    </row>
    <row r="12" spans="8:8">
      <c r="A12" s="44" t="s">
        <v>164</v>
      </c>
      <c r="B12" s="184" t="s">
        <v>51</v>
      </c>
      <c r="C12" s="29">
        <v>200.0</v>
      </c>
      <c r="D12" s="46">
        <v>1.99</v>
      </c>
      <c r="E12" s="46">
        <v>1.7</v>
      </c>
      <c r="F12" s="46">
        <v>18.6</v>
      </c>
      <c r="G12" s="46">
        <v>102.03</v>
      </c>
      <c r="H12" s="30">
        <v>0.03</v>
      </c>
      <c r="I12" s="30">
        <v>0.65</v>
      </c>
      <c r="J12" s="25"/>
      <c r="K12" s="30">
        <v>64.43</v>
      </c>
      <c r="L12" s="25"/>
      <c r="M12" s="25"/>
      <c r="N12" s="30">
        <v>0.4</v>
      </c>
      <c r="O12" s="2">
        <v>7.7</v>
      </c>
      <c r="P12" s="2">
        <f t="shared" si="2"/>
        <v>101.77799999999999</v>
      </c>
    </row>
    <row r="13" spans="8:8">
      <c r="A13" s="52"/>
      <c r="B13" s="148" t="s">
        <v>11</v>
      </c>
      <c r="C13" s="40">
        <v>40.0</v>
      </c>
      <c r="D13" s="53">
        <v>3.04</v>
      </c>
      <c r="E13" s="53">
        <v>0.32</v>
      </c>
      <c r="F13" s="53">
        <v>19.68</v>
      </c>
      <c r="G13" s="53">
        <v>98.34</v>
      </c>
      <c r="H13" s="25"/>
      <c r="I13" s="54">
        <v>0.28</v>
      </c>
      <c r="J13" s="25"/>
      <c r="K13" s="54">
        <v>100.5</v>
      </c>
      <c r="L13" s="25"/>
      <c r="M13" s="25"/>
      <c r="N13" s="54">
        <v>0.09</v>
      </c>
      <c r="O13" s="2">
        <v>9.0</v>
      </c>
      <c r="P13" s="2">
        <f t="shared" si="2"/>
        <v>98.304</v>
      </c>
    </row>
    <row r="14" spans="8:8" hidden="1">
      <c r="A14" s="55"/>
      <c r="B14" s="47"/>
      <c r="C14" s="56"/>
      <c r="D14" s="49"/>
      <c r="E14" s="46"/>
      <c r="F14" s="49"/>
      <c r="G14" s="49"/>
      <c r="H14" s="30">
        <v>0.04</v>
      </c>
      <c r="I14" s="25"/>
      <c r="J14" s="25"/>
      <c r="K14" s="54">
        <v>7.6</v>
      </c>
      <c r="L14" s="25"/>
      <c r="M14" s="25"/>
      <c r="N14" s="30">
        <v>0.48</v>
      </c>
      <c r="O14" s="2">
        <v>4.0</v>
      </c>
      <c r="P14" s="2">
        <f t="shared" si="2"/>
        <v>0.0</v>
      </c>
    </row>
    <row r="15" spans="8:8" hidden="1">
      <c r="A15" s="57"/>
      <c r="B15" s="58"/>
      <c r="C15" s="59"/>
      <c r="D15" s="60"/>
      <c r="E15" s="61"/>
      <c r="F15" s="60"/>
      <c r="G15" s="60"/>
      <c r="H15" s="62">
        <v>0.05</v>
      </c>
      <c r="I15" s="63">
        <v>16.0</v>
      </c>
      <c r="J15" s="64"/>
      <c r="K15" s="63">
        <v>25.6</v>
      </c>
      <c r="L15" s="64"/>
      <c r="M15" s="64"/>
      <c r="N15" s="63">
        <v>3.52</v>
      </c>
      <c r="O15" s="2">
        <v>34.0</v>
      </c>
      <c r="P15" s="2">
        <f t="shared" si="2"/>
        <v>0.0</v>
      </c>
    </row>
    <row r="16" spans="8:8">
      <c r="A16" s="57"/>
      <c r="B16" s="58"/>
      <c r="C16" s="65">
        <f>SUM(C8:C15)</f>
        <v>550.0</v>
      </c>
      <c r="D16" s="60"/>
      <c r="E16" s="61"/>
      <c r="F16" s="60"/>
      <c r="G16" s="60"/>
      <c r="H16" s="62"/>
      <c r="I16" s="63"/>
      <c r="J16" s="64"/>
      <c r="K16" s="63"/>
      <c r="L16" s="64"/>
      <c r="M16" s="64"/>
      <c r="N16" s="63"/>
      <c r="P16" s="2">
        <f t="shared" si="2"/>
        <v>0.0</v>
      </c>
    </row>
    <row r="17" spans="8:8">
      <c r="A17" s="66"/>
      <c r="B17" s="185" t="s">
        <v>67</v>
      </c>
      <c r="C17" s="186"/>
      <c r="D17" s="69">
        <f>D18+D19+D20+D21+D22</f>
        <v>26.840400000000002</v>
      </c>
      <c r="E17" s="69">
        <f t="shared" si="3" ref="E17:O17">E18+E19+E20+E21+E22</f>
        <v>29.799599999999998</v>
      </c>
      <c r="F17" s="69">
        <f t="shared" si="3"/>
        <v>103.06854999999999</v>
      </c>
      <c r="G17" s="69">
        <f>G18+G19+G20+G21+G22</f>
        <v>816.0875</v>
      </c>
      <c r="H17" s="69">
        <f t="shared" si="3"/>
        <v>0.25</v>
      </c>
      <c r="I17" s="69">
        <f t="shared" si="3"/>
        <v>23.48</v>
      </c>
      <c r="J17" s="69">
        <f t="shared" si="3"/>
        <v>0.0</v>
      </c>
      <c r="K17" s="69">
        <f t="shared" si="3"/>
        <v>124.48</v>
      </c>
      <c r="L17" s="69">
        <f t="shared" si="3"/>
        <v>135.38</v>
      </c>
      <c r="M17" s="69">
        <f t="shared" si="3"/>
        <v>46.31</v>
      </c>
      <c r="N17" s="69">
        <f t="shared" si="3"/>
        <v>4.82</v>
      </c>
      <c r="O17" s="69">
        <f t="shared" si="3"/>
        <v>69.6</v>
      </c>
      <c r="P17" s="2">
        <f t="shared" si="2"/>
        <v>813.8139899999999</v>
      </c>
      <c r="Q17" s="2">
        <v>705.0</v>
      </c>
    </row>
    <row r="18" spans="8:8">
      <c r="A18" s="70" t="s">
        <v>173</v>
      </c>
      <c r="B18" s="43" t="s">
        <v>136</v>
      </c>
      <c r="C18" s="71">
        <v>100.0</v>
      </c>
      <c r="D18" s="49">
        <f>0.94*1.66</f>
        <v>1.5603999999999998</v>
      </c>
      <c r="E18" s="49">
        <f>4.06*1.66</f>
        <v>6.739599999999999</v>
      </c>
      <c r="F18" s="49">
        <f>5.96*1.66</f>
        <v>9.8936</v>
      </c>
      <c r="G18" s="49">
        <v>108.76</v>
      </c>
      <c r="H18" s="46">
        <v>0.01</v>
      </c>
      <c r="I18" s="46">
        <v>3.99</v>
      </c>
      <c r="J18" s="46"/>
      <c r="K18" s="46">
        <v>21.28</v>
      </c>
      <c r="L18" s="46">
        <v>24.38</v>
      </c>
      <c r="M18" s="46">
        <v>12.42</v>
      </c>
      <c r="N18" s="46">
        <v>0.79</v>
      </c>
      <c r="O18" s="72">
        <v>7.8</v>
      </c>
      <c r="P18" s="2">
        <f t="shared" si="2"/>
        <v>108.7632</v>
      </c>
    </row>
    <row r="19" spans="8:8" ht="11.25" customHeight="1">
      <c r="A19" s="44" t="s">
        <v>165</v>
      </c>
      <c r="B19" s="45" t="s">
        <v>188</v>
      </c>
      <c r="C19" s="29">
        <v>250.0</v>
      </c>
      <c r="D19" s="46">
        <f>3*1.25</f>
        <v>3.75</v>
      </c>
      <c r="E19" s="46">
        <f>(4.61-0.21)*1.25</f>
        <v>5.5</v>
      </c>
      <c r="F19" s="46">
        <f>(12.54-0.05)*1.255</f>
        <v>15.674949999999997</v>
      </c>
      <c r="G19" s="46">
        <f>106.65*1.25</f>
        <v>133.3125</v>
      </c>
      <c r="H19" s="46" t="s">
        <v>70</v>
      </c>
      <c r="I19" s="46" t="s">
        <v>71</v>
      </c>
      <c r="J19" s="50"/>
      <c r="K19" s="46" t="s">
        <v>72</v>
      </c>
      <c r="L19" s="46" t="s">
        <v>73</v>
      </c>
      <c r="M19" s="46" t="s">
        <v>74</v>
      </c>
      <c r="N19" s="46">
        <v>0.99</v>
      </c>
      <c r="O19" s="2">
        <v>21.0</v>
      </c>
      <c r="P19" s="2">
        <f t="shared" si="2"/>
        <v>131.08479</v>
      </c>
    </row>
    <row r="20" spans="8:8">
      <c r="A20" s="73" t="s">
        <v>169</v>
      </c>
      <c r="B20" s="184" t="s">
        <v>137</v>
      </c>
      <c r="C20" s="29">
        <v>200.0</v>
      </c>
      <c r="D20" s="46">
        <v>17.73</v>
      </c>
      <c r="E20" s="46">
        <v>17.16</v>
      </c>
      <c r="F20" s="46">
        <v>42.9</v>
      </c>
      <c r="G20" s="46">
        <v>409.09</v>
      </c>
      <c r="H20" s="29">
        <v>0.05</v>
      </c>
      <c r="I20" s="29">
        <v>1.22</v>
      </c>
      <c r="J20" s="74"/>
      <c r="K20" s="29">
        <v>9.8</v>
      </c>
      <c r="L20" s="29">
        <v>16.87</v>
      </c>
      <c r="M20" s="29">
        <v>4.54</v>
      </c>
      <c r="N20" s="29">
        <v>1.39</v>
      </c>
      <c r="O20" s="2">
        <v>25.0</v>
      </c>
      <c r="P20" s="2">
        <f t="shared" si="2"/>
        <v>409.086</v>
      </c>
    </row>
    <row r="21" spans="8:8">
      <c r="A21" s="75" t="s">
        <v>163</v>
      </c>
      <c r="B21" s="47" t="s">
        <v>10</v>
      </c>
      <c r="C21" s="48">
        <v>200.0</v>
      </c>
      <c r="D21" s="49">
        <v>0.0</v>
      </c>
      <c r="E21" s="50">
        <v>0.0</v>
      </c>
      <c r="F21" s="49">
        <v>10.0</v>
      </c>
      <c r="G21" s="49">
        <v>42.0</v>
      </c>
      <c r="H21" s="54">
        <v>0.04</v>
      </c>
      <c r="I21" s="54">
        <v>1.48</v>
      </c>
      <c r="J21" s="25"/>
      <c r="K21" s="54">
        <v>59.5</v>
      </c>
      <c r="L21" s="25"/>
      <c r="M21" s="25"/>
      <c r="N21" s="54">
        <v>1.21</v>
      </c>
      <c r="O21" s="2">
        <v>13.0</v>
      </c>
      <c r="P21" s="2">
        <f t="shared" si="2"/>
        <v>42.0</v>
      </c>
    </row>
    <row r="22" spans="8:8">
      <c r="A22" s="38"/>
      <c r="B22" s="104" t="s">
        <v>11</v>
      </c>
      <c r="C22" s="29">
        <v>50.0</v>
      </c>
      <c r="D22" s="49">
        <f>3.04*1.25</f>
        <v>3.8</v>
      </c>
      <c r="E22" s="46">
        <f>0.32*1.25</f>
        <v>0.4</v>
      </c>
      <c r="F22" s="49">
        <f>19.68*1.25</f>
        <v>24.6</v>
      </c>
      <c r="G22" s="49">
        <f>98.34*1.25</f>
        <v>122.92500000000001</v>
      </c>
      <c r="H22" s="29">
        <v>0.04</v>
      </c>
      <c r="I22" s="74"/>
      <c r="J22" s="74"/>
      <c r="K22" s="48">
        <v>8.0</v>
      </c>
      <c r="L22" s="74">
        <v>26.0</v>
      </c>
      <c r="M22" s="74">
        <v>5.6</v>
      </c>
      <c r="N22" s="29">
        <v>0.44</v>
      </c>
      <c r="O22" s="2">
        <v>2.8</v>
      </c>
      <c r="P22" s="2">
        <f t="shared" si="2"/>
        <v>122.88</v>
      </c>
    </row>
    <row r="23" spans="8:8">
      <c r="A23" s="57"/>
      <c r="B23" s="58"/>
      <c r="C23" s="65">
        <f>SUM(C18:C22)</f>
        <v>800.0</v>
      </c>
      <c r="D23" s="60"/>
      <c r="E23" s="61"/>
      <c r="F23" s="60"/>
      <c r="G23" s="60"/>
      <c r="H23" s="29"/>
      <c r="I23" s="74"/>
      <c r="J23" s="74"/>
      <c r="K23" s="63"/>
      <c r="L23" s="64"/>
      <c r="M23" s="64"/>
      <c r="N23" s="63"/>
      <c r="P23" s="2">
        <f t="shared" si="2"/>
        <v>0.0</v>
      </c>
    </row>
    <row r="24" spans="8:8">
      <c r="A24" s="31" t="s">
        <v>4</v>
      </c>
      <c r="B24" s="37" t="s">
        <v>13</v>
      </c>
      <c r="C24" s="33"/>
      <c r="D24" s="34">
        <f t="shared" si="4" ref="D24:O24">D25+D31</f>
        <v>44.52744</v>
      </c>
      <c r="E24" s="34">
        <f t="shared" si="4"/>
        <v>48.91346</v>
      </c>
      <c r="F24" s="34">
        <f t="shared" si="4"/>
        <v>220.61378</v>
      </c>
      <c r="G24" s="34">
        <f>G25+G31</f>
        <v>1556.9634999999998</v>
      </c>
      <c r="H24" s="34" t="e">
        <f t="shared" si="4"/>
        <v>#REF!</v>
      </c>
      <c r="I24" s="34" t="e">
        <f t="shared" si="4"/>
        <v>#REF!</v>
      </c>
      <c r="J24" s="34" t="e">
        <f t="shared" si="4"/>
        <v>#REF!</v>
      </c>
      <c r="K24" s="34" t="e">
        <f t="shared" si="4"/>
        <v>#REF!</v>
      </c>
      <c r="L24" s="34" t="e">
        <f t="shared" si="4"/>
        <v>#REF!</v>
      </c>
      <c r="M24" s="34" t="e">
        <f t="shared" si="4"/>
        <v>#REF!</v>
      </c>
      <c r="N24" s="34" t="e">
        <f t="shared" si="4"/>
        <v>#REF!</v>
      </c>
      <c r="O24" s="35" t="e">
        <f t="shared" si="4"/>
        <v>#REF!</v>
      </c>
      <c r="P24" s="2">
        <f t="shared" si="2"/>
        <v>1553.814264</v>
      </c>
    </row>
    <row r="25" spans="8:8">
      <c r="A25" s="31"/>
      <c r="B25" s="187" t="s">
        <v>66</v>
      </c>
      <c r="C25" s="188"/>
      <c r="D25" s="34">
        <f>D26+D27+D28+D29</f>
        <v>17.3025</v>
      </c>
      <c r="E25" s="34">
        <f>E26+E27+E28+E29</f>
        <v>13.0875</v>
      </c>
      <c r="F25" s="34">
        <f>F26+F27+F28+F29</f>
        <v>116.45750000000001</v>
      </c>
      <c r="G25" s="34">
        <f>G26+G27+G28+G29</f>
        <v>681.25</v>
      </c>
      <c r="H25" s="34" t="e">
        <f>H26+H27+H28+H29+#REF!</f>
        <v>#REF!</v>
      </c>
      <c r="I25" s="34" t="e">
        <f>I26+I27+I28+I29+#REF!</f>
        <v>#REF!</v>
      </c>
      <c r="J25" s="34" t="e">
        <f>J26+J27+J28+J29+#REF!</f>
        <v>#REF!</v>
      </c>
      <c r="K25" s="34" t="e">
        <f>K26+K27+K28+K29+#REF!</f>
        <v>#REF!</v>
      </c>
      <c r="L25" s="34" t="e">
        <f>L26+L27+L28+L29+#REF!</f>
        <v>#REF!</v>
      </c>
      <c r="M25" s="34" t="e">
        <f>M26+M27+M28+M29+#REF!</f>
        <v>#REF!</v>
      </c>
      <c r="N25" s="34" t="e">
        <f>N26+N27+N28+N29+#REF!</f>
        <v>#REF!</v>
      </c>
      <c r="O25" s="35" t="e">
        <f>O26+O27+O28+O29+#REF!</f>
        <v>#REF!</v>
      </c>
      <c r="P25" s="2">
        <f t="shared" si="2"/>
        <v>679.5795</v>
      </c>
      <c r="Q25" s="2">
        <v>470.0</v>
      </c>
    </row>
    <row r="26" spans="8:8" ht="24.0">
      <c r="A26" s="169" t="s">
        <v>161</v>
      </c>
      <c r="B26" s="43" t="s">
        <v>184</v>
      </c>
      <c r="C26" s="48">
        <v>253.0</v>
      </c>
      <c r="D26" s="49">
        <f>7.81*1.25</f>
        <v>9.7625</v>
      </c>
      <c r="E26" s="49">
        <f>4.55*1.25</f>
        <v>5.6875</v>
      </c>
      <c r="F26" s="49">
        <f>33.47*1.25</f>
        <v>41.8375</v>
      </c>
      <c r="G26" s="49">
        <v>267.91</v>
      </c>
      <c r="H26" s="54">
        <v>0.04</v>
      </c>
      <c r="I26" s="54">
        <v>15.0</v>
      </c>
      <c r="J26" s="54"/>
      <c r="K26" s="54">
        <v>8.4</v>
      </c>
      <c r="L26" s="54"/>
      <c r="M26" s="54"/>
      <c r="N26" s="54">
        <v>0.54</v>
      </c>
      <c r="O26" s="79">
        <v>10.9</v>
      </c>
      <c r="P26" s="2">
        <f t="shared" si="2"/>
        <v>267.9075</v>
      </c>
    </row>
    <row r="27" spans="8:8">
      <c r="A27" s="80"/>
      <c r="B27" s="47" t="s">
        <v>62</v>
      </c>
      <c r="C27" s="48">
        <v>60.0</v>
      </c>
      <c r="D27" s="49">
        <f>1.5*3</f>
        <v>4.5</v>
      </c>
      <c r="E27" s="50">
        <f>2.36*3</f>
        <v>7.08</v>
      </c>
      <c r="F27" s="49">
        <f>14.98*3</f>
        <v>44.94</v>
      </c>
      <c r="G27" s="49">
        <f>91*3</f>
        <v>273.0</v>
      </c>
      <c r="H27" s="54">
        <v>0.46</v>
      </c>
      <c r="I27" s="54">
        <v>1.78</v>
      </c>
      <c r="J27" s="54"/>
      <c r="K27" s="54">
        <v>10.16</v>
      </c>
      <c r="L27" s="54">
        <v>8.54</v>
      </c>
      <c r="M27" s="54">
        <v>1.88</v>
      </c>
      <c r="N27" s="54">
        <v>1.14</v>
      </c>
      <c r="O27" s="2">
        <v>33.0</v>
      </c>
      <c r="P27" s="2">
        <f t="shared" si="2"/>
        <v>271.368</v>
      </c>
    </row>
    <row r="28" spans="8:8">
      <c r="A28" s="80" t="s">
        <v>163</v>
      </c>
      <c r="B28" s="47" t="s">
        <v>10</v>
      </c>
      <c r="C28" s="48">
        <v>200.0</v>
      </c>
      <c r="D28" s="49">
        <v>0.0</v>
      </c>
      <c r="E28" s="49">
        <v>0.0</v>
      </c>
      <c r="F28" s="49">
        <v>10.0</v>
      </c>
      <c r="G28" s="49">
        <v>42.0</v>
      </c>
      <c r="H28" s="54">
        <v>0.19</v>
      </c>
      <c r="I28" s="54">
        <v>31.07</v>
      </c>
      <c r="J28" s="54">
        <v>25.2</v>
      </c>
      <c r="K28" s="54">
        <v>49.59</v>
      </c>
      <c r="L28" s="54">
        <v>91.3</v>
      </c>
      <c r="M28" s="54">
        <v>35.39</v>
      </c>
      <c r="N28" s="54">
        <v>1.43</v>
      </c>
      <c r="O28" s="2">
        <v>23.0</v>
      </c>
      <c r="P28" s="2">
        <f t="shared" si="2"/>
        <v>42.0</v>
      </c>
    </row>
    <row r="29" spans="8:8">
      <c r="A29" s="81"/>
      <c r="B29" s="43" t="s">
        <v>11</v>
      </c>
      <c r="C29" s="48">
        <v>40.0</v>
      </c>
      <c r="D29" s="49">
        <v>3.04</v>
      </c>
      <c r="E29" s="50">
        <v>0.32</v>
      </c>
      <c r="F29" s="49">
        <v>19.68</v>
      </c>
      <c r="G29" s="49">
        <v>98.34</v>
      </c>
      <c r="H29" s="82">
        <v>0.01</v>
      </c>
      <c r="I29" s="82">
        <v>0.58</v>
      </c>
      <c r="J29" s="83"/>
      <c r="K29" s="82">
        <v>17.31</v>
      </c>
      <c r="L29" s="83"/>
      <c r="M29" s="83"/>
      <c r="N29" s="82">
        <v>0.65</v>
      </c>
      <c r="O29" s="2">
        <v>7.0</v>
      </c>
      <c r="P29" s="2">
        <f t="shared" si="2"/>
        <v>98.304</v>
      </c>
    </row>
    <row r="30" spans="8:8">
      <c r="A30" s="44"/>
      <c r="B30" s="47"/>
      <c r="C30" s="84">
        <f>SUM(C26:C29)</f>
        <v>553.0</v>
      </c>
      <c r="D30" s="49"/>
      <c r="E30" s="46"/>
      <c r="F30" s="49"/>
      <c r="G30" s="49"/>
      <c r="H30" s="30"/>
      <c r="I30" s="25"/>
      <c r="J30" s="25"/>
      <c r="K30" s="54"/>
      <c r="L30" s="25"/>
      <c r="M30" s="25"/>
      <c r="N30" s="30"/>
      <c r="P30" s="2">
        <f t="shared" si="2"/>
        <v>0.0</v>
      </c>
    </row>
    <row r="31" spans="8:8">
      <c r="A31" s="85"/>
      <c r="B31" s="185" t="s">
        <v>67</v>
      </c>
      <c r="C31" s="189"/>
      <c r="D31" s="86">
        <f>D32+D33+D34+D35+D36+D37</f>
        <v>27.22494</v>
      </c>
      <c r="E31" s="86">
        <f>E32+E33+E34+E35+E36+E37</f>
        <v>35.825959999999995</v>
      </c>
      <c r="F31" s="86">
        <f>F32+F33+F34+F35+F36+F37</f>
        <v>104.15628000000001</v>
      </c>
      <c r="G31" s="86">
        <f>G32+G33+G34+G35+G36+G37</f>
        <v>875.7135</v>
      </c>
      <c r="H31" s="86">
        <f t="shared" si="5" ref="H31:O31">H32+H33+H34+H35+H36+H37</f>
        <v>0.669</v>
      </c>
      <c r="I31" s="86">
        <f t="shared" si="5"/>
        <v>28.21</v>
      </c>
      <c r="J31" s="86">
        <f t="shared" si="5"/>
        <v>0.9</v>
      </c>
      <c r="K31" s="86">
        <f t="shared" si="5"/>
        <v>162.12</v>
      </c>
      <c r="L31" s="86">
        <f t="shared" si="5"/>
        <v>361.56</v>
      </c>
      <c r="M31" s="86">
        <f t="shared" si="5"/>
        <v>128.26999999999998</v>
      </c>
      <c r="N31" s="86">
        <f t="shared" si="5"/>
        <v>8.6</v>
      </c>
      <c r="O31" s="87">
        <f t="shared" si="5"/>
        <v>78.0</v>
      </c>
      <c r="P31" s="2">
        <f>(D31+F31)*4.2+E31*9</f>
        <v>874.234764</v>
      </c>
      <c r="Q31" s="2">
        <v>705.0</v>
      </c>
    </row>
    <row r="32" spans="8:8">
      <c r="A32" s="44" t="s">
        <v>68</v>
      </c>
      <c r="B32" s="190" t="s">
        <v>69</v>
      </c>
      <c r="C32" s="74">
        <v>100.0</v>
      </c>
      <c r="D32" s="89">
        <f>0.84*1.666</f>
        <v>1.3994399999999998</v>
      </c>
      <c r="E32" s="46">
        <f>3.06*1.666</f>
        <v>5.09796</v>
      </c>
      <c r="F32" s="46">
        <f>6.83*1.666</f>
        <v>11.378779999999999</v>
      </c>
      <c r="G32" s="46">
        <f>59.75*1.666</f>
        <v>99.5435</v>
      </c>
      <c r="H32" s="46">
        <v>0.02</v>
      </c>
      <c r="I32" s="46">
        <v>2.53</v>
      </c>
      <c r="J32" s="46"/>
      <c r="K32" s="46">
        <v>27.92</v>
      </c>
      <c r="L32" s="46">
        <v>36.55</v>
      </c>
      <c r="M32" s="46">
        <v>19.35</v>
      </c>
      <c r="N32" s="46">
        <v>0.6</v>
      </c>
      <c r="O32" s="72">
        <v>10.8</v>
      </c>
      <c r="P32" s="2">
        <f t="shared" si="2"/>
        <v>99.550164</v>
      </c>
    </row>
    <row r="33" spans="8:8">
      <c r="A33" s="90" t="s">
        <v>166</v>
      </c>
      <c r="B33" s="43" t="s">
        <v>158</v>
      </c>
      <c r="C33" s="48">
        <v>250.0</v>
      </c>
      <c r="D33" s="49">
        <f>(2.57-0.86)*1.25</f>
        <v>2.1375</v>
      </c>
      <c r="E33" s="49">
        <f>8.4*1.25</f>
        <v>10.5</v>
      </c>
      <c r="F33" s="49">
        <f>17.95*1.25</f>
        <v>22.4375</v>
      </c>
      <c r="G33" s="49">
        <f>158.72*1.25</f>
        <v>198.4</v>
      </c>
      <c r="H33" s="49" t="s">
        <v>76</v>
      </c>
      <c r="I33" s="49" t="s">
        <v>77</v>
      </c>
      <c r="J33" s="50"/>
      <c r="K33" s="49" t="s">
        <v>78</v>
      </c>
      <c r="L33" s="49" t="s">
        <v>79</v>
      </c>
      <c r="M33" s="49" t="s">
        <v>80</v>
      </c>
      <c r="N33" s="49" t="s">
        <v>81</v>
      </c>
      <c r="O33" s="2">
        <v>11.2</v>
      </c>
      <c r="P33" s="2">
        <f t="shared" si="2"/>
        <v>197.715</v>
      </c>
    </row>
    <row r="34" spans="8:8">
      <c r="A34" s="91" t="s">
        <v>43</v>
      </c>
      <c r="B34" s="47" t="s">
        <v>65</v>
      </c>
      <c r="C34" s="48">
        <v>100.0</v>
      </c>
      <c r="D34" s="49">
        <v>14.25</v>
      </c>
      <c r="E34" s="49">
        <v>16.66</v>
      </c>
      <c r="F34" s="49">
        <v>5.27</v>
      </c>
      <c r="G34" s="49">
        <v>232.0</v>
      </c>
      <c r="H34" s="48">
        <v>0.06</v>
      </c>
      <c r="I34" s="48">
        <v>2.82</v>
      </c>
      <c r="J34" s="74"/>
      <c r="K34" s="48">
        <v>14.58</v>
      </c>
      <c r="L34" s="48">
        <v>25.31</v>
      </c>
      <c r="M34" s="48">
        <v>6.62</v>
      </c>
      <c r="N34" s="48">
        <v>1.51</v>
      </c>
      <c r="O34" s="2">
        <v>38.0</v>
      </c>
      <c r="P34" s="2">
        <f t="shared" si="2"/>
        <v>231.92399999999998</v>
      </c>
    </row>
    <row r="35" spans="8:8">
      <c r="A35" s="44" t="s">
        <v>33</v>
      </c>
      <c r="B35" s="47" t="s">
        <v>12</v>
      </c>
      <c r="C35" s="92">
        <v>180.0</v>
      </c>
      <c r="D35" s="49">
        <f>5.64*1.2</f>
        <v>6.768</v>
      </c>
      <c r="E35" s="46">
        <f>2.84*1.2</f>
        <v>3.408</v>
      </c>
      <c r="F35" s="49">
        <f>36*1.2</f>
        <v>43.199999999999996</v>
      </c>
      <c r="G35" s="49">
        <f>201*1.2</f>
        <v>241.2</v>
      </c>
      <c r="H35" s="30">
        <v>0.44</v>
      </c>
      <c r="I35" s="25"/>
      <c r="J35" s="25">
        <v>0.9</v>
      </c>
      <c r="K35" s="54">
        <v>78.0</v>
      </c>
      <c r="L35" s="25">
        <v>215.0</v>
      </c>
      <c r="M35" s="25">
        <v>70.0</v>
      </c>
      <c r="N35" s="30">
        <v>4.45</v>
      </c>
      <c r="O35" s="2">
        <v>10.0</v>
      </c>
      <c r="P35" s="2">
        <f t="shared" si="2"/>
        <v>240.5376</v>
      </c>
    </row>
    <row r="36" spans="8:8">
      <c r="A36" s="93" t="s">
        <v>42</v>
      </c>
      <c r="B36" s="94" t="s">
        <v>201</v>
      </c>
      <c r="C36" s="48">
        <v>200.0</v>
      </c>
      <c r="D36" s="49">
        <v>1.15</v>
      </c>
      <c r="E36" s="50"/>
      <c r="F36" s="49">
        <v>12.03</v>
      </c>
      <c r="G36" s="49">
        <v>55.4</v>
      </c>
      <c r="H36" s="82">
        <v>0.009</v>
      </c>
      <c r="I36" s="82">
        <v>1.52</v>
      </c>
      <c r="J36" s="83"/>
      <c r="K36" s="82">
        <v>3.57</v>
      </c>
      <c r="L36" s="82">
        <v>0.66</v>
      </c>
      <c r="M36" s="82">
        <v>0.22</v>
      </c>
      <c r="N36" s="82">
        <v>0.34</v>
      </c>
      <c r="O36" s="2">
        <v>5.0</v>
      </c>
      <c r="P36" s="2">
        <f t="shared" si="2"/>
        <v>55.356</v>
      </c>
    </row>
    <row r="37" spans="8:8">
      <c r="A37" s="44"/>
      <c r="B37" s="47" t="s">
        <v>11</v>
      </c>
      <c r="C37" s="29">
        <v>20.0</v>
      </c>
      <c r="D37" s="49">
        <v>1.52</v>
      </c>
      <c r="E37" s="46">
        <v>0.16</v>
      </c>
      <c r="F37" s="49">
        <v>9.84</v>
      </c>
      <c r="G37" s="49">
        <v>49.17</v>
      </c>
      <c r="H37" s="46">
        <v>0.04</v>
      </c>
      <c r="I37" s="50"/>
      <c r="J37" s="50"/>
      <c r="K37" s="49">
        <v>7.25</v>
      </c>
      <c r="L37" s="50">
        <v>32.5</v>
      </c>
      <c r="M37" s="50">
        <v>10.5</v>
      </c>
      <c r="N37" s="46">
        <v>0.9</v>
      </c>
      <c r="O37" s="2">
        <v>3.0</v>
      </c>
      <c r="P37" s="2">
        <f t="shared" si="2"/>
        <v>49.152</v>
      </c>
    </row>
    <row r="38" spans="8:8">
      <c r="A38" s="44"/>
      <c r="B38" s="47"/>
      <c r="C38" s="84">
        <f>SUM(C32:C37)</f>
        <v>850.0</v>
      </c>
      <c r="D38" s="49"/>
      <c r="E38" s="46"/>
      <c r="F38" s="49"/>
      <c r="G38" s="49"/>
      <c r="H38" s="30"/>
      <c r="I38" s="25"/>
      <c r="J38" s="25"/>
      <c r="K38" s="54"/>
      <c r="L38" s="25"/>
      <c r="M38" s="25"/>
      <c r="N38" s="30"/>
      <c r="P38" s="2">
        <f t="shared" si="2"/>
        <v>0.0</v>
      </c>
    </row>
    <row r="39" spans="8:8">
      <c r="A39" s="31" t="s">
        <v>5</v>
      </c>
      <c r="B39" s="32" t="s">
        <v>13</v>
      </c>
      <c r="C39" s="33"/>
      <c r="D39" s="34">
        <f>D40+D46</f>
        <v>42.4296</v>
      </c>
      <c r="E39" s="34">
        <f t="shared" si="6" ref="E39:O39">E40+E46</f>
        <v>38.7911</v>
      </c>
      <c r="F39" s="34">
        <f t="shared" si="6"/>
        <v>220.9549</v>
      </c>
      <c r="G39" s="34">
        <f>G40+G46</f>
        <v>1456.335</v>
      </c>
      <c r="H39" s="34">
        <f t="shared" si="6"/>
        <v>0.62</v>
      </c>
      <c r="I39" s="34">
        <f t="shared" si="6"/>
        <v>35.22</v>
      </c>
      <c r="J39" s="34">
        <f t="shared" si="6"/>
        <v>596.4</v>
      </c>
      <c r="K39" s="34">
        <f t="shared" si="6"/>
        <v>182.93</v>
      </c>
      <c r="L39" s="34">
        <f t="shared" si="6"/>
        <v>512.99</v>
      </c>
      <c r="M39" s="34">
        <f t="shared" si="6"/>
        <v>219.58999999999997</v>
      </c>
      <c r="N39" s="34">
        <f t="shared" si="6"/>
        <v>11.260000000000002</v>
      </c>
      <c r="O39" s="35">
        <f t="shared" si="6"/>
        <v>151.89999999999998</v>
      </c>
      <c r="P39" s="2">
        <f t="shared" si="2"/>
        <v>1455.3347999999999</v>
      </c>
    </row>
    <row r="40" spans="8:8">
      <c r="A40" s="36"/>
      <c r="B40" s="183" t="s">
        <v>66</v>
      </c>
      <c r="C40" s="183"/>
      <c r="D40" s="34">
        <f>D41+D42+D43+D44</f>
        <v>13.68</v>
      </c>
      <c r="E40" s="34">
        <f t="shared" si="7" ref="E40:O40">E41+E42+E43+E44</f>
        <v>8.5</v>
      </c>
      <c r="F40" s="34">
        <f t="shared" si="7"/>
        <v>101.5</v>
      </c>
      <c r="G40" s="34">
        <f>G41+G42+G43+G44</f>
        <v>560.125</v>
      </c>
      <c r="H40" s="34">
        <f t="shared" si="7"/>
        <v>0.1</v>
      </c>
      <c r="I40" s="34">
        <f t="shared" si="7"/>
        <v>16.39</v>
      </c>
      <c r="J40" s="34">
        <f t="shared" si="7"/>
        <v>40.0</v>
      </c>
      <c r="K40" s="34">
        <f t="shared" si="7"/>
        <v>72.97</v>
      </c>
      <c r="L40" s="34">
        <f t="shared" si="7"/>
        <v>29.5</v>
      </c>
      <c r="M40" s="34">
        <f t="shared" si="7"/>
        <v>5.7</v>
      </c>
      <c r="N40" s="34">
        <f t="shared" si="7"/>
        <v>4.07</v>
      </c>
      <c r="O40" s="35">
        <f t="shared" si="7"/>
        <v>79.3</v>
      </c>
      <c r="P40" s="2">
        <f t="shared" si="2"/>
        <v>560.256</v>
      </c>
      <c r="Q40" s="2">
        <v>470.0</v>
      </c>
    </row>
    <row r="41" spans="8:8">
      <c r="A41" s="95"/>
      <c r="B41" s="96" t="s">
        <v>41</v>
      </c>
      <c r="C41" s="97">
        <v>100.0</v>
      </c>
      <c r="D41" s="98">
        <v>0.4</v>
      </c>
      <c r="E41" s="98">
        <v>0.0</v>
      </c>
      <c r="F41" s="98">
        <v>9.8</v>
      </c>
      <c r="G41" s="98">
        <v>42.84</v>
      </c>
      <c r="H41" s="25">
        <v>0.01</v>
      </c>
      <c r="I41" s="25">
        <v>0.39</v>
      </c>
      <c r="J41" s="25">
        <v>40.0</v>
      </c>
      <c r="K41" s="25">
        <v>38.9</v>
      </c>
      <c r="L41" s="25">
        <v>3.5</v>
      </c>
      <c r="M41" s="25">
        <v>0.1</v>
      </c>
      <c r="N41" s="25">
        <v>0.07</v>
      </c>
      <c r="O41" s="2">
        <v>53.5</v>
      </c>
      <c r="P41" s="2">
        <f t="shared" si="2"/>
        <v>42.84</v>
      </c>
    </row>
    <row r="42" spans="8:8" ht="24.0">
      <c r="A42" s="74" t="s">
        <v>161</v>
      </c>
      <c r="B42" s="45" t="s">
        <v>186</v>
      </c>
      <c r="C42" s="29">
        <v>203.0</v>
      </c>
      <c r="D42" s="49">
        <v>8.48</v>
      </c>
      <c r="E42" s="49">
        <v>8.0</v>
      </c>
      <c r="F42" s="49">
        <v>36.1</v>
      </c>
      <c r="G42" s="49">
        <v>259.36</v>
      </c>
      <c r="H42" s="25"/>
      <c r="I42" s="25"/>
      <c r="J42" s="25"/>
      <c r="K42" s="54">
        <v>0.47</v>
      </c>
      <c r="L42" s="25"/>
      <c r="M42" s="25"/>
      <c r="N42" s="54">
        <v>0.04</v>
      </c>
      <c r="O42" s="2">
        <v>3.0</v>
      </c>
      <c r="P42" s="2">
        <f t="shared" si="2"/>
        <v>259.236</v>
      </c>
    </row>
    <row r="43" spans="8:8" ht="21.75" customHeight="1">
      <c r="A43" s="38" t="s">
        <v>42</v>
      </c>
      <c r="B43" s="99" t="s">
        <v>202</v>
      </c>
      <c r="C43" s="48">
        <v>200.0</v>
      </c>
      <c r="D43" s="49">
        <v>1.0</v>
      </c>
      <c r="E43" s="49">
        <v>0.1</v>
      </c>
      <c r="F43" s="49">
        <v>31.0</v>
      </c>
      <c r="G43" s="49">
        <v>135.0</v>
      </c>
      <c r="H43" s="30">
        <v>0.04</v>
      </c>
      <c r="I43" s="25"/>
      <c r="J43" s="25"/>
      <c r="K43" s="54">
        <v>8.0</v>
      </c>
      <c r="L43" s="25">
        <v>26.0</v>
      </c>
      <c r="M43" s="25">
        <v>5.6</v>
      </c>
      <c r="N43" s="30">
        <v>0.44</v>
      </c>
      <c r="O43" s="2">
        <v>2.8</v>
      </c>
      <c r="P43" s="2">
        <f t="shared" si="2"/>
        <v>135.3</v>
      </c>
    </row>
    <row r="44" spans="8:8">
      <c r="A44" s="38"/>
      <c r="B44" s="104" t="s">
        <v>11</v>
      </c>
      <c r="C44" s="29">
        <v>50.0</v>
      </c>
      <c r="D44" s="49">
        <f>3.04*1.25</f>
        <v>3.8</v>
      </c>
      <c r="E44" s="46">
        <f>0.32*1.25</f>
        <v>0.4</v>
      </c>
      <c r="F44" s="49">
        <f>19.68*1.25</f>
        <v>24.6</v>
      </c>
      <c r="G44" s="49">
        <f>98.34*1.25</f>
        <v>122.92500000000001</v>
      </c>
      <c r="H44" s="62">
        <v>0.05</v>
      </c>
      <c r="I44" s="63">
        <v>16.0</v>
      </c>
      <c r="J44" s="64"/>
      <c r="K44" s="63">
        <v>25.6</v>
      </c>
      <c r="L44" s="64"/>
      <c r="M44" s="64"/>
      <c r="N44" s="63">
        <v>3.52</v>
      </c>
      <c r="O44" s="2">
        <v>20.0</v>
      </c>
      <c r="P44" s="2">
        <f t="shared" si="2"/>
        <v>122.88</v>
      </c>
    </row>
    <row r="45" spans="8:8">
      <c r="A45" s="38"/>
      <c r="B45" s="47"/>
      <c r="C45" s="100">
        <f>SUM(C41:C44)</f>
        <v>553.0</v>
      </c>
      <c r="D45" s="49"/>
      <c r="E45" s="46"/>
      <c r="F45" s="49"/>
      <c r="G45" s="49"/>
      <c r="H45" s="30"/>
      <c r="I45" s="25"/>
      <c r="J45" s="25"/>
      <c r="K45" s="54"/>
      <c r="L45" s="25"/>
      <c r="M45" s="25"/>
      <c r="N45" s="30"/>
      <c r="P45" s="2">
        <f t="shared" si="2"/>
        <v>0.0</v>
      </c>
    </row>
    <row r="46" spans="8:8">
      <c r="A46" s="38"/>
      <c r="B46" s="185" t="s">
        <v>67</v>
      </c>
      <c r="C46" s="100"/>
      <c r="D46" s="86">
        <f>D47+D48+D49+D50+D51+D52</f>
        <v>28.7496</v>
      </c>
      <c r="E46" s="86">
        <f t="shared" si="8" ref="E46:O46">E47+E48+E49+E50+E51+E52</f>
        <v>30.291099999999997</v>
      </c>
      <c r="F46" s="86">
        <f t="shared" si="8"/>
        <v>119.4549</v>
      </c>
      <c r="G46" s="86">
        <f>G47+G48+G49+G50+G51+G52</f>
        <v>896.21</v>
      </c>
      <c r="H46" s="86">
        <f t="shared" si="8"/>
        <v>0.52</v>
      </c>
      <c r="I46" s="86">
        <f t="shared" si="8"/>
        <v>18.83</v>
      </c>
      <c r="J46" s="86">
        <f t="shared" si="8"/>
        <v>556.4</v>
      </c>
      <c r="K46" s="86">
        <f t="shared" si="8"/>
        <v>109.96</v>
      </c>
      <c r="L46" s="86">
        <f t="shared" si="8"/>
        <v>483.49</v>
      </c>
      <c r="M46" s="86">
        <f t="shared" si="8"/>
        <v>213.89</v>
      </c>
      <c r="N46" s="86">
        <f t="shared" si="8"/>
        <v>7.19</v>
      </c>
      <c r="O46" s="87">
        <f t="shared" si="8"/>
        <v>72.6</v>
      </c>
      <c r="P46" s="2">
        <f t="shared" si="2"/>
        <v>895.0788</v>
      </c>
      <c r="Q46" s="2">
        <v>705.0</v>
      </c>
    </row>
    <row r="47" spans="8:8">
      <c r="A47" s="70" t="s">
        <v>82</v>
      </c>
      <c r="B47" s="118" t="s">
        <v>83</v>
      </c>
      <c r="C47" s="48">
        <v>100.0</v>
      </c>
      <c r="D47" s="49">
        <f>1.21*1.67</f>
        <v>2.0206999999999997</v>
      </c>
      <c r="E47" s="49">
        <f>6.2*1.67</f>
        <v>10.354</v>
      </c>
      <c r="F47" s="49">
        <f>12.33*1.67</f>
        <v>20.5911</v>
      </c>
      <c r="G47" s="49">
        <f>113*1.67</f>
        <v>188.70999999999998</v>
      </c>
      <c r="H47" s="46">
        <v>0.02</v>
      </c>
      <c r="I47" s="46">
        <v>2.3</v>
      </c>
      <c r="J47" s="46">
        <v>443.0</v>
      </c>
      <c r="K47" s="46">
        <v>14.0</v>
      </c>
      <c r="L47" s="46">
        <v>28.0</v>
      </c>
      <c r="M47" s="46">
        <v>17.0</v>
      </c>
      <c r="N47" s="46">
        <v>0.45</v>
      </c>
      <c r="O47" s="2">
        <v>9.2</v>
      </c>
      <c r="P47" s="2">
        <f t="shared" si="2"/>
        <v>188.15556</v>
      </c>
    </row>
    <row r="48" spans="8:8">
      <c r="A48" s="101" t="s">
        <v>117</v>
      </c>
      <c r="B48" s="191" t="s">
        <v>198</v>
      </c>
      <c r="C48" s="29">
        <v>250.0</v>
      </c>
      <c r="D48" s="46">
        <f>1.65*1.25</f>
        <v>2.0625</v>
      </c>
      <c r="E48" s="46">
        <f>1.97*1.25</f>
        <v>2.4625</v>
      </c>
      <c r="F48" s="46">
        <f>11.49*1.25</f>
        <v>14.3625</v>
      </c>
      <c r="G48" s="46">
        <f>73.68*1.25</f>
        <v>92.10000000000001</v>
      </c>
      <c r="H48" s="46" t="s">
        <v>84</v>
      </c>
      <c r="I48" s="46" t="s">
        <v>85</v>
      </c>
      <c r="J48" s="50"/>
      <c r="K48" s="46" t="s">
        <v>86</v>
      </c>
      <c r="L48" s="46" t="s">
        <v>87</v>
      </c>
      <c r="M48" s="46" t="s">
        <v>88</v>
      </c>
      <c r="N48" s="46" t="s">
        <v>89</v>
      </c>
      <c r="O48" s="2">
        <v>5.6</v>
      </c>
      <c r="P48" s="2">
        <f t="shared" si="2"/>
        <v>91.14750000000001</v>
      </c>
    </row>
    <row r="49" spans="8:8">
      <c r="A49" s="102" t="s">
        <v>131</v>
      </c>
      <c r="B49" s="104" t="s">
        <v>141</v>
      </c>
      <c r="C49" s="48">
        <v>100.0</v>
      </c>
      <c r="D49" s="49">
        <f>11.84*1.11</f>
        <v>13.1424</v>
      </c>
      <c r="E49" s="49">
        <f>10.06*1.11</f>
        <v>11.1666</v>
      </c>
      <c r="F49" s="49">
        <f>16.03*1.11</f>
        <v>17.793300000000002</v>
      </c>
      <c r="G49" s="49">
        <f>208*1.11</f>
        <v>230.88000000000002</v>
      </c>
      <c r="H49" s="25">
        <v>0.1</v>
      </c>
      <c r="I49" s="25">
        <v>6.03</v>
      </c>
      <c r="J49" s="25">
        <v>92.4</v>
      </c>
      <c r="K49" s="25">
        <v>52.89</v>
      </c>
      <c r="L49" s="25">
        <v>193.68</v>
      </c>
      <c r="M49" s="25">
        <v>44.45</v>
      </c>
      <c r="N49" s="25">
        <v>1.01</v>
      </c>
      <c r="O49" s="2">
        <v>35.0</v>
      </c>
      <c r="P49" s="2">
        <f t="shared" si="2"/>
        <v>230.42933999999997</v>
      </c>
    </row>
    <row r="50" spans="8:8">
      <c r="A50" s="75" t="s">
        <v>38</v>
      </c>
      <c r="B50" s="184" t="s">
        <v>36</v>
      </c>
      <c r="C50" s="48">
        <v>180.0</v>
      </c>
      <c r="D50" s="49">
        <f>8.77*1.2</f>
        <v>10.524</v>
      </c>
      <c r="E50" s="49">
        <f>5.19*1.2</f>
        <v>6.228000000000001</v>
      </c>
      <c r="F50" s="49">
        <f>39.6*1.23</f>
        <v>48.708</v>
      </c>
      <c r="G50" s="49">
        <v>304.0</v>
      </c>
      <c r="H50" s="48">
        <v>0.3</v>
      </c>
      <c r="I50" s="74"/>
      <c r="J50" s="48">
        <v>21.0</v>
      </c>
      <c r="K50" s="48">
        <v>15.38</v>
      </c>
      <c r="L50" s="48">
        <v>208.35</v>
      </c>
      <c r="M50" s="48">
        <v>138.65</v>
      </c>
      <c r="N50" s="48">
        <v>4.66</v>
      </c>
      <c r="O50" s="2">
        <v>13.0</v>
      </c>
      <c r="P50" s="2">
        <f t="shared" si="2"/>
        <v>304.82640000000004</v>
      </c>
    </row>
    <row r="51" spans="8:8">
      <c r="A51" s="103" t="s">
        <v>163</v>
      </c>
      <c r="B51" s="104" t="s">
        <v>10</v>
      </c>
      <c r="C51" s="29">
        <v>200.0</v>
      </c>
      <c r="D51" s="49">
        <v>0.0</v>
      </c>
      <c r="E51" s="50">
        <v>0.0</v>
      </c>
      <c r="F51" s="49">
        <v>10.0</v>
      </c>
      <c r="G51" s="46">
        <v>42.0</v>
      </c>
      <c r="H51" s="46" t="s">
        <v>91</v>
      </c>
      <c r="I51" s="49" t="s">
        <v>92</v>
      </c>
      <c r="J51" s="50"/>
      <c r="K51" s="49" t="s">
        <v>93</v>
      </c>
      <c r="L51" s="50"/>
      <c r="M51" s="50"/>
      <c r="N51" s="46" t="s">
        <v>94</v>
      </c>
      <c r="O51" s="2">
        <v>7.0</v>
      </c>
      <c r="P51" s="2">
        <f t="shared" si="2"/>
        <v>42.0</v>
      </c>
    </row>
    <row r="52" spans="8:8">
      <c r="A52" s="38"/>
      <c r="B52" s="104" t="s">
        <v>37</v>
      </c>
      <c r="C52" s="29">
        <v>20.0</v>
      </c>
      <c r="D52" s="49">
        <v>1.0</v>
      </c>
      <c r="E52" s="46">
        <v>0.08</v>
      </c>
      <c r="F52" s="49">
        <v>8.0</v>
      </c>
      <c r="G52" s="49">
        <v>38.52</v>
      </c>
      <c r="H52" s="29">
        <v>0.04</v>
      </c>
      <c r="I52" s="74"/>
      <c r="J52" s="74"/>
      <c r="K52" s="48">
        <v>8.0</v>
      </c>
      <c r="L52" s="74">
        <v>26.0</v>
      </c>
      <c r="M52" s="74">
        <v>5.6</v>
      </c>
      <c r="N52" s="29">
        <v>0.44</v>
      </c>
      <c r="O52" s="2">
        <v>2.8</v>
      </c>
      <c r="P52" s="2">
        <f t="shared" si="2"/>
        <v>38.519999999999996</v>
      </c>
    </row>
    <row r="53" spans="8:8">
      <c r="A53" s="38"/>
      <c r="B53" s="104"/>
      <c r="C53" s="100">
        <f>SUM(C47:C52)</f>
        <v>850.0</v>
      </c>
      <c r="D53" s="49"/>
      <c r="E53" s="46"/>
      <c r="F53" s="49"/>
      <c r="G53" s="49"/>
      <c r="H53" s="29"/>
      <c r="I53" s="74"/>
      <c r="J53" s="74"/>
      <c r="K53" s="48"/>
      <c r="L53" s="74"/>
      <c r="M53" s="74"/>
      <c r="N53" s="29"/>
      <c r="P53" s="2">
        <f t="shared" si="2"/>
        <v>0.0</v>
      </c>
    </row>
    <row r="54" spans="8:8">
      <c r="A54" s="38"/>
      <c r="B54" s="47"/>
      <c r="C54" s="100"/>
      <c r="D54" s="49"/>
      <c r="E54" s="46"/>
      <c r="F54" s="49"/>
      <c r="G54" s="49"/>
      <c r="H54" s="30"/>
      <c r="I54" s="25"/>
      <c r="J54" s="25"/>
      <c r="K54" s="54"/>
      <c r="L54" s="25"/>
      <c r="M54" s="25"/>
      <c r="N54" s="30"/>
      <c r="P54" s="2">
        <f t="shared" si="2"/>
        <v>0.0</v>
      </c>
    </row>
    <row r="55" spans="8:8">
      <c r="A55" s="36" t="s">
        <v>27</v>
      </c>
      <c r="B55" s="37" t="s">
        <v>13</v>
      </c>
      <c r="C55" s="33"/>
      <c r="D55" s="86">
        <f t="shared" si="9" ref="D55:O55">D56+D62</f>
        <v>46.1734</v>
      </c>
      <c r="E55" s="86">
        <f t="shared" si="9"/>
        <v>43.667699999999996</v>
      </c>
      <c r="F55" s="86">
        <f t="shared" si="9"/>
        <v>197.7914</v>
      </c>
      <c r="G55" s="86">
        <f>G56+G62</f>
        <v>1439.86</v>
      </c>
      <c r="H55" s="86" t="e">
        <f t="shared" si="9"/>
        <v>#REF!</v>
      </c>
      <c r="I55" s="86" t="e">
        <f t="shared" si="9"/>
        <v>#REF!</v>
      </c>
      <c r="J55" s="86" t="e">
        <f t="shared" si="9"/>
        <v>#REF!</v>
      </c>
      <c r="K55" s="86" t="e">
        <f t="shared" si="9"/>
        <v>#REF!</v>
      </c>
      <c r="L55" s="86" t="e">
        <f t="shared" si="9"/>
        <v>#REF!</v>
      </c>
      <c r="M55" s="86" t="e">
        <f t="shared" si="9"/>
        <v>#REF!</v>
      </c>
      <c r="N55" s="86" t="e">
        <f t="shared" si="9"/>
        <v>#REF!</v>
      </c>
      <c r="O55" s="87" t="e">
        <f t="shared" si="9"/>
        <v>#REF!</v>
      </c>
      <c r="P55" s="2">
        <f t="shared" si="2"/>
        <v>1417.66146</v>
      </c>
    </row>
    <row r="56" spans="8:8">
      <c r="A56" s="36"/>
      <c r="B56" s="187" t="s">
        <v>66</v>
      </c>
      <c r="C56" s="188"/>
      <c r="D56" s="86">
        <f>D57+D58+D59+D60</f>
        <v>17.025</v>
      </c>
      <c r="E56" s="86">
        <f t="shared" si="10" ref="E56:O56">E57+E58+E59+E60</f>
        <v>9.4225</v>
      </c>
      <c r="F56" s="86">
        <f t="shared" si="10"/>
        <v>111.12</v>
      </c>
      <c r="G56" s="86">
        <f>G57+G58+G59+G60</f>
        <v>623.0500000000001</v>
      </c>
      <c r="H56" s="86">
        <f t="shared" si="10"/>
        <v>0.28900000000000003</v>
      </c>
      <c r="I56" s="86">
        <f t="shared" si="10"/>
        <v>2.12</v>
      </c>
      <c r="J56" s="86">
        <f t="shared" si="10"/>
        <v>25.2</v>
      </c>
      <c r="K56" s="86">
        <f t="shared" si="10"/>
        <v>52.03</v>
      </c>
      <c r="L56" s="86">
        <f t="shared" si="10"/>
        <v>146.85</v>
      </c>
      <c r="M56" s="86">
        <f t="shared" si="10"/>
        <v>38.21</v>
      </c>
      <c r="N56" s="86">
        <f t="shared" si="10"/>
        <v>4.79</v>
      </c>
      <c r="O56" s="87">
        <f t="shared" si="10"/>
        <v>76.6</v>
      </c>
      <c r="P56" s="2">
        <f t="shared" si="2"/>
        <v>623.0115</v>
      </c>
    </row>
    <row r="57" spans="8:8">
      <c r="A57" s="106" t="s">
        <v>179</v>
      </c>
      <c r="B57" s="43" t="s">
        <v>177</v>
      </c>
      <c r="C57" s="48">
        <v>60.0</v>
      </c>
      <c r="D57" s="49">
        <v>4.91</v>
      </c>
      <c r="E57" s="49">
        <v>3.79</v>
      </c>
      <c r="F57" s="49">
        <v>36.09</v>
      </c>
      <c r="G57" s="49">
        <v>206.31</v>
      </c>
      <c r="H57" s="54">
        <v>0.08</v>
      </c>
      <c r="I57" s="54">
        <v>0.6</v>
      </c>
      <c r="J57" s="25"/>
      <c r="K57" s="54">
        <v>17.6</v>
      </c>
      <c r="L57" s="54">
        <v>13.35</v>
      </c>
      <c r="M57" s="54">
        <v>2.94</v>
      </c>
      <c r="N57" s="54">
        <v>2.26</v>
      </c>
      <c r="O57" s="2">
        <v>59.0</v>
      </c>
      <c r="P57" s="2">
        <f t="shared" si="2"/>
        <v>206.31</v>
      </c>
    </row>
    <row r="58" spans="8:8" ht="24.0">
      <c r="A58" s="74" t="s">
        <v>161</v>
      </c>
      <c r="B58" s="45" t="s">
        <v>185</v>
      </c>
      <c r="C58" s="29">
        <v>253.0</v>
      </c>
      <c r="D58" s="49">
        <f>7.26*1.25</f>
        <v>9.075</v>
      </c>
      <c r="E58" s="49">
        <f>4.25*1.25</f>
        <v>5.3125</v>
      </c>
      <c r="F58" s="49">
        <f>36.28*1.25</f>
        <v>45.35</v>
      </c>
      <c r="G58" s="49">
        <v>276.4</v>
      </c>
      <c r="H58" s="54">
        <v>0.1</v>
      </c>
      <c r="I58" s="25"/>
      <c r="J58" s="54">
        <v>25.2</v>
      </c>
      <c r="K58" s="54">
        <v>13.46</v>
      </c>
      <c r="L58" s="54">
        <v>54.84</v>
      </c>
      <c r="M58" s="54">
        <v>9.85</v>
      </c>
      <c r="N58" s="54">
        <v>0.03</v>
      </c>
      <c r="O58" s="2">
        <v>9.6</v>
      </c>
      <c r="P58" s="2">
        <f t="shared" si="2"/>
        <v>276.39750000000004</v>
      </c>
    </row>
    <row r="59" spans="8:8">
      <c r="A59" s="93" t="s">
        <v>163</v>
      </c>
      <c r="B59" s="94" t="s">
        <v>10</v>
      </c>
      <c r="C59" s="48">
        <v>200.0</v>
      </c>
      <c r="D59" s="49">
        <v>0.0</v>
      </c>
      <c r="E59" s="50">
        <v>0.0</v>
      </c>
      <c r="F59" s="49">
        <v>10.0</v>
      </c>
      <c r="G59" s="49">
        <v>42.0</v>
      </c>
      <c r="H59" s="82">
        <v>0.009</v>
      </c>
      <c r="I59" s="82">
        <v>1.52</v>
      </c>
      <c r="J59" s="83"/>
      <c r="K59" s="82">
        <v>3.57</v>
      </c>
      <c r="L59" s="82">
        <v>0.66</v>
      </c>
      <c r="M59" s="82">
        <v>0.22</v>
      </c>
      <c r="N59" s="82">
        <v>0.34</v>
      </c>
      <c r="O59" s="2">
        <v>5.0</v>
      </c>
      <c r="P59" s="2">
        <f t="shared" si="2"/>
        <v>42.0</v>
      </c>
    </row>
    <row r="60" spans="8:8" ht="15.0" customHeight="1">
      <c r="A60" s="44"/>
      <c r="B60" s="47" t="s">
        <v>11</v>
      </c>
      <c r="C60" s="29">
        <v>40.0</v>
      </c>
      <c r="D60" s="49">
        <v>3.04</v>
      </c>
      <c r="E60" s="46">
        <v>0.32</v>
      </c>
      <c r="F60" s="49">
        <v>19.68</v>
      </c>
      <c r="G60" s="49">
        <v>98.34</v>
      </c>
      <c r="H60" s="30">
        <v>0.1</v>
      </c>
      <c r="I60" s="25"/>
      <c r="J60" s="25"/>
      <c r="K60" s="54">
        <v>17.4</v>
      </c>
      <c r="L60" s="25">
        <v>78.0</v>
      </c>
      <c r="M60" s="25">
        <v>25.2</v>
      </c>
      <c r="N60" s="30">
        <v>2.16</v>
      </c>
      <c r="O60" s="2">
        <v>3.0</v>
      </c>
      <c r="P60" s="2">
        <f t="shared" si="2"/>
        <v>98.304</v>
      </c>
    </row>
    <row r="61" spans="8:8" ht="15.0" customHeight="1">
      <c r="A61" s="44"/>
      <c r="B61" s="47"/>
      <c r="C61" s="100">
        <f>SUM(C57:C60)</f>
        <v>553.0</v>
      </c>
      <c r="D61" s="49"/>
      <c r="E61" s="46"/>
      <c r="F61" s="49"/>
      <c r="G61" s="49"/>
      <c r="H61" s="30"/>
      <c r="I61" s="25"/>
      <c r="J61" s="25"/>
      <c r="K61" s="54"/>
      <c r="L61" s="25"/>
      <c r="M61" s="25"/>
      <c r="N61" s="30"/>
      <c r="P61" s="2">
        <f t="shared" si="2"/>
        <v>0.0</v>
      </c>
    </row>
    <row r="62" spans="8:8" ht="15.0" customHeight="1">
      <c r="A62" s="44"/>
      <c r="B62" s="185" t="s">
        <v>67</v>
      </c>
      <c r="C62" s="100"/>
      <c r="D62" s="86">
        <f>D63+D64+D65+D66+D67</f>
        <v>29.1484</v>
      </c>
      <c r="E62" s="86">
        <f>E63+E64+E65+E66+E67</f>
        <v>34.2452</v>
      </c>
      <c r="F62" s="86">
        <f>F63+F64+F65+F66+F67</f>
        <v>86.6714</v>
      </c>
      <c r="G62" s="86">
        <f>G63+G64+G65+G66+G67</f>
        <v>816.81</v>
      </c>
      <c r="H62" s="86" t="e">
        <f>H63+H64+H65+#REF!+H66+H67</f>
        <v>#REF!</v>
      </c>
      <c r="I62" s="86" t="e">
        <f>I63+I64+I65+#REF!+I66+I67</f>
        <v>#REF!</v>
      </c>
      <c r="J62" s="86" t="e">
        <f>J63+J64+J65+#REF!+J66+J67</f>
        <v>#REF!</v>
      </c>
      <c r="K62" s="86" t="e">
        <f>K63+K64+K65+#REF!+K66+K67</f>
        <v>#REF!</v>
      </c>
      <c r="L62" s="86" t="e">
        <f>L63+L64+L65+#REF!+L66+L67</f>
        <v>#REF!</v>
      </c>
      <c r="M62" s="86" t="e">
        <f>M63+M64+M65+#REF!+M66+M67</f>
        <v>#REF!</v>
      </c>
      <c r="N62" s="86" t="e">
        <f>N63+N64+N65+#REF!+N66+N67</f>
        <v>#REF!</v>
      </c>
      <c r="O62" s="87" t="e">
        <f>O63+O64+O65+#REF!+O66+O67</f>
        <v>#REF!</v>
      </c>
      <c r="P62" s="2">
        <f t="shared" si="2"/>
        <v>794.64996</v>
      </c>
    </row>
    <row r="63" spans="8:8" ht="15.0" customHeight="1">
      <c r="A63" s="107" t="s">
        <v>174</v>
      </c>
      <c r="B63" s="88" t="s">
        <v>142</v>
      </c>
      <c r="C63" s="74">
        <v>100.0</v>
      </c>
      <c r="D63" s="108">
        <f>0.74*1.66</f>
        <v>1.2284</v>
      </c>
      <c r="E63" s="108">
        <f>0.06*1.67</f>
        <v>0.1002</v>
      </c>
      <c r="F63" s="108">
        <f>6.92*1.67</f>
        <v>11.5564</v>
      </c>
      <c r="G63" s="108">
        <f>33*1.67</f>
        <v>55.11</v>
      </c>
      <c r="H63" s="46">
        <v>0.03</v>
      </c>
      <c r="I63" s="46">
        <v>5.8</v>
      </c>
      <c r="J63" s="46"/>
      <c r="K63" s="46">
        <v>18.74</v>
      </c>
      <c r="L63" s="46">
        <v>25.96</v>
      </c>
      <c r="M63" s="46">
        <v>11.72</v>
      </c>
      <c r="N63" s="46">
        <v>0.5</v>
      </c>
      <c r="O63" s="72">
        <v>11.4</v>
      </c>
      <c r="P63" s="2">
        <f t="shared" si="2"/>
        <v>54.59796</v>
      </c>
    </row>
    <row r="64" spans="8:8" customHeight="1">
      <c r="A64" s="101" t="s">
        <v>167</v>
      </c>
      <c r="B64" s="45" t="s">
        <v>190</v>
      </c>
      <c r="C64" s="29">
        <v>250.0</v>
      </c>
      <c r="D64" s="46">
        <f>5.52*1.25</f>
        <v>6.8999999999999995</v>
      </c>
      <c r="E64" s="46">
        <f>14.18*1.25</f>
        <v>17.725</v>
      </c>
      <c r="F64" s="46">
        <f>10.9*1.25</f>
        <v>13.625</v>
      </c>
      <c r="G64" s="46">
        <v>267.32</v>
      </c>
      <c r="H64" s="46" t="s">
        <v>95</v>
      </c>
      <c r="I64" s="46" t="s">
        <v>96</v>
      </c>
      <c r="J64" s="50"/>
      <c r="K64" s="46" t="s">
        <v>97</v>
      </c>
      <c r="L64" s="46" t="s">
        <v>98</v>
      </c>
      <c r="M64" s="46" t="s">
        <v>99</v>
      </c>
      <c r="N64" s="46" t="s">
        <v>100</v>
      </c>
      <c r="O64" s="2">
        <v>9.6</v>
      </c>
      <c r="P64" s="2">
        <f t="shared" si="2"/>
        <v>245.73000000000002</v>
      </c>
    </row>
    <row r="65" spans="8:8" ht="15.0" customHeight="1">
      <c r="A65" s="44">
        <v>209.0</v>
      </c>
      <c r="B65" s="45" t="s">
        <v>143</v>
      </c>
      <c r="C65" s="29">
        <v>260.0</v>
      </c>
      <c r="D65" s="46">
        <v>18.35</v>
      </c>
      <c r="E65" s="46">
        <v>16.26</v>
      </c>
      <c r="F65" s="46">
        <v>39.62</v>
      </c>
      <c r="G65" s="46">
        <v>389.81</v>
      </c>
      <c r="H65" s="46" t="s">
        <v>84</v>
      </c>
      <c r="I65" s="46" t="s">
        <v>112</v>
      </c>
      <c r="J65" s="50"/>
      <c r="K65" s="46" t="s">
        <v>113</v>
      </c>
      <c r="L65" s="46" t="s">
        <v>114</v>
      </c>
      <c r="M65" s="46" t="s">
        <v>115</v>
      </c>
      <c r="N65" s="46" t="s">
        <v>116</v>
      </c>
      <c r="O65" s="2">
        <v>35.7</v>
      </c>
      <c r="P65" s="2">
        <f t="shared" si="2"/>
        <v>389.81399999999996</v>
      </c>
    </row>
    <row r="66" spans="8:8" ht="17.25" customHeight="1">
      <c r="A66" s="109" t="s">
        <v>42</v>
      </c>
      <c r="B66" s="43" t="s">
        <v>201</v>
      </c>
      <c r="C66" s="48">
        <v>200.0</v>
      </c>
      <c r="D66" s="49">
        <v>1.15</v>
      </c>
      <c r="E66" s="50"/>
      <c r="F66" s="49">
        <v>12.03</v>
      </c>
      <c r="G66" s="49">
        <v>55.4</v>
      </c>
      <c r="H66" s="110">
        <v>0.01</v>
      </c>
      <c r="I66" s="110">
        <v>0.65</v>
      </c>
      <c r="J66" s="111"/>
      <c r="K66" s="110">
        <v>19.23</v>
      </c>
      <c r="L66" s="111"/>
      <c r="M66" s="111"/>
      <c r="N66" s="110">
        <v>0.72</v>
      </c>
      <c r="O66" s="2">
        <v>7.0</v>
      </c>
      <c r="P66" s="2">
        <f t="shared" si="2"/>
        <v>55.356</v>
      </c>
    </row>
    <row r="67" spans="8:8" ht="15.0" customHeight="1">
      <c r="A67" s="44"/>
      <c r="B67" s="47" t="s">
        <v>11</v>
      </c>
      <c r="C67" s="29">
        <v>20.0</v>
      </c>
      <c r="D67" s="49">
        <v>1.52</v>
      </c>
      <c r="E67" s="46">
        <v>0.16</v>
      </c>
      <c r="F67" s="49">
        <v>9.84</v>
      </c>
      <c r="G67" s="49">
        <v>49.17</v>
      </c>
      <c r="H67" s="46">
        <v>0.04</v>
      </c>
      <c r="I67" s="50"/>
      <c r="J67" s="50"/>
      <c r="K67" s="49">
        <v>7.25</v>
      </c>
      <c r="L67" s="50">
        <v>32.5</v>
      </c>
      <c r="M67" s="50">
        <v>10.5</v>
      </c>
      <c r="N67" s="46">
        <v>0.9</v>
      </c>
      <c r="O67" s="2">
        <v>3.0</v>
      </c>
      <c r="P67" s="2">
        <f t="shared" si="2"/>
        <v>49.152</v>
      </c>
    </row>
    <row r="68" spans="8:8" ht="15.0" customHeight="1">
      <c r="A68" s="44"/>
      <c r="B68" s="104"/>
      <c r="C68" s="100">
        <f>SUM(C63:C67)</f>
        <v>830.0</v>
      </c>
      <c r="D68" s="49"/>
      <c r="E68" s="46"/>
      <c r="F68" s="49"/>
      <c r="G68" s="49"/>
      <c r="H68" s="46"/>
      <c r="I68" s="50"/>
      <c r="J68" s="50"/>
      <c r="K68" s="49"/>
      <c r="L68" s="50"/>
      <c r="M68" s="50"/>
      <c r="N68" s="46"/>
      <c r="P68" s="2">
        <f t="shared" si="2"/>
        <v>0.0</v>
      </c>
    </row>
    <row r="69" spans="8:8">
      <c r="A69" s="36" t="s">
        <v>28</v>
      </c>
      <c r="B69" s="37" t="s">
        <v>13</v>
      </c>
      <c r="C69" s="33"/>
      <c r="D69" s="86">
        <f>D70+D76</f>
        <v>47.968</v>
      </c>
      <c r="E69" s="86">
        <f t="shared" si="11" ref="E69:O69">E70+E76</f>
        <v>41.6697</v>
      </c>
      <c r="F69" s="86">
        <f t="shared" si="11"/>
        <v>209.28775000000002</v>
      </c>
      <c r="G69" s="86">
        <f>G70+G76</f>
        <v>1459.1035000000002</v>
      </c>
      <c r="H69" s="86">
        <f t="shared" si="11"/>
        <v>0.66</v>
      </c>
      <c r="I69" s="86">
        <f t="shared" si="11"/>
        <v>70.66</v>
      </c>
      <c r="J69" s="86">
        <f t="shared" si="11"/>
        <v>16.0</v>
      </c>
      <c r="K69" s="86">
        <f t="shared" si="11"/>
        <v>423.51</v>
      </c>
      <c r="L69" s="86">
        <f t="shared" si="11"/>
        <v>173.92</v>
      </c>
      <c r="M69" s="86">
        <f t="shared" si="11"/>
        <v>63.459999999999994</v>
      </c>
      <c r="N69" s="86">
        <f t="shared" si="11"/>
        <v>10.280000000000001</v>
      </c>
      <c r="O69" s="87">
        <f t="shared" si="11"/>
        <v>184.4</v>
      </c>
      <c r="P69" s="2">
        <f t="shared" si="2"/>
        <v>1455.50145</v>
      </c>
    </row>
    <row r="70" spans="8:8">
      <c r="A70" s="36"/>
      <c r="B70" s="187" t="s">
        <v>66</v>
      </c>
      <c r="C70" s="188"/>
      <c r="D70" s="86">
        <f>D71+D72+D73+D74</f>
        <v>15.64</v>
      </c>
      <c r="E70" s="86">
        <f>E71+E72+E73+E74</f>
        <v>9.620000000000001</v>
      </c>
      <c r="F70" s="86">
        <f>F71+F72+F73+F74</f>
        <v>94.05000000000001</v>
      </c>
      <c r="G70" s="86">
        <f>G71+G72+G73+G74</f>
        <v>547.3249999999999</v>
      </c>
      <c r="H70" s="86">
        <f t="shared" si="12" ref="H70:O70">H71+H72+H73+H74</f>
        <v>0.16</v>
      </c>
      <c r="I70" s="86">
        <f t="shared" si="12"/>
        <v>16.88</v>
      </c>
      <c r="J70" s="86">
        <f t="shared" si="12"/>
        <v>16.0</v>
      </c>
      <c r="K70" s="86">
        <f t="shared" si="12"/>
        <v>316.85</v>
      </c>
      <c r="L70" s="86">
        <f t="shared" si="12"/>
        <v>8.2</v>
      </c>
      <c r="M70" s="86">
        <f t="shared" si="12"/>
        <v>1.48</v>
      </c>
      <c r="N70" s="86">
        <f t="shared" si="12"/>
        <v>4.75</v>
      </c>
      <c r="O70" s="87">
        <f t="shared" si="12"/>
        <v>95.0</v>
      </c>
      <c r="P70" s="2">
        <f t="shared" si="2"/>
        <v>547.278</v>
      </c>
    </row>
    <row r="71" spans="8:8">
      <c r="A71" s="95"/>
      <c r="B71" s="96" t="s">
        <v>41</v>
      </c>
      <c r="C71" s="97">
        <v>100.0</v>
      </c>
      <c r="D71" s="98">
        <v>0.4</v>
      </c>
      <c r="E71" s="98">
        <v>0.0</v>
      </c>
      <c r="F71" s="98">
        <v>9.8</v>
      </c>
      <c r="G71" s="98">
        <v>42.84</v>
      </c>
      <c r="H71" s="54">
        <v>0.07</v>
      </c>
      <c r="I71" s="54">
        <v>0.88</v>
      </c>
      <c r="J71" s="54">
        <v>16.0</v>
      </c>
      <c r="K71" s="54">
        <v>283.18</v>
      </c>
      <c r="L71" s="54">
        <v>8.2</v>
      </c>
      <c r="M71" s="54">
        <v>1.48</v>
      </c>
      <c r="N71" s="54">
        <v>0.71</v>
      </c>
      <c r="O71" s="2">
        <v>66.0</v>
      </c>
      <c r="P71" s="2">
        <f t="shared" si="2"/>
        <v>42.84</v>
      </c>
    </row>
    <row r="72" spans="8:8">
      <c r="A72" s="192" t="s">
        <v>180</v>
      </c>
      <c r="B72" s="112" t="s">
        <v>178</v>
      </c>
      <c r="C72" s="48">
        <v>203.0</v>
      </c>
      <c r="D72" s="49">
        <v>11.44</v>
      </c>
      <c r="E72" s="49">
        <v>9.22</v>
      </c>
      <c r="F72" s="49">
        <v>49.65</v>
      </c>
      <c r="G72" s="49">
        <v>339.56</v>
      </c>
      <c r="H72" s="25"/>
      <c r="I72" s="25"/>
      <c r="J72" s="25"/>
      <c r="K72" s="54">
        <v>0.47</v>
      </c>
      <c r="L72" s="25"/>
      <c r="M72" s="25"/>
      <c r="N72" s="54">
        <v>0.04</v>
      </c>
      <c r="O72" s="2">
        <v>3.0</v>
      </c>
      <c r="P72" s="2">
        <f t="shared" si="2"/>
        <v>339.558</v>
      </c>
    </row>
    <row r="73" spans="8:8">
      <c r="A73" s="113" t="s">
        <v>163</v>
      </c>
      <c r="B73" s="47" t="s">
        <v>10</v>
      </c>
      <c r="C73" s="56">
        <v>200.0</v>
      </c>
      <c r="D73" s="49">
        <v>0.0</v>
      </c>
      <c r="E73" s="46">
        <v>0.0</v>
      </c>
      <c r="F73" s="49">
        <v>10.0</v>
      </c>
      <c r="G73" s="49">
        <v>42.0</v>
      </c>
      <c r="H73" s="30">
        <v>0.04</v>
      </c>
      <c r="I73" s="25"/>
      <c r="J73" s="25"/>
      <c r="K73" s="54">
        <v>7.6</v>
      </c>
      <c r="L73" s="25"/>
      <c r="M73" s="25"/>
      <c r="N73" s="30">
        <v>0.48</v>
      </c>
      <c r="O73" s="2">
        <v>4.0</v>
      </c>
      <c r="P73" s="2">
        <f t="shared" si="13" ref="P73:P136">(D73+F73)*4.2+E73*9</f>
        <v>42.0</v>
      </c>
    </row>
    <row r="74" spans="8:8" ht="13.5" customHeight="1">
      <c r="A74" s="44"/>
      <c r="B74" s="104" t="s">
        <v>11</v>
      </c>
      <c r="C74" s="29">
        <v>50.0</v>
      </c>
      <c r="D74" s="49">
        <f>3.04*1.25</f>
        <v>3.8</v>
      </c>
      <c r="E74" s="46">
        <f>0.32*1.25</f>
        <v>0.4</v>
      </c>
      <c r="F74" s="49">
        <f>19.68*1.25</f>
        <v>24.6</v>
      </c>
      <c r="G74" s="49">
        <f>98.34*1.25</f>
        <v>122.92500000000001</v>
      </c>
      <c r="H74" s="62">
        <v>0.05</v>
      </c>
      <c r="I74" s="63">
        <v>16.0</v>
      </c>
      <c r="J74" s="64"/>
      <c r="K74" s="63">
        <v>25.6</v>
      </c>
      <c r="L74" s="64"/>
      <c r="M74" s="64"/>
      <c r="N74" s="63">
        <v>3.52</v>
      </c>
      <c r="O74" s="2">
        <v>22.0</v>
      </c>
      <c r="P74" s="2">
        <f t="shared" si="13"/>
        <v>122.88</v>
      </c>
    </row>
    <row r="75" spans="8:8">
      <c r="A75" s="102"/>
      <c r="B75" s="47"/>
      <c r="C75" s="115">
        <f>SUM(C71:C74)</f>
        <v>553.0</v>
      </c>
      <c r="D75" s="49"/>
      <c r="E75" s="50"/>
      <c r="F75" s="49"/>
      <c r="G75" s="49"/>
      <c r="H75" s="25"/>
      <c r="I75" s="54"/>
      <c r="J75" s="25"/>
      <c r="K75" s="54"/>
      <c r="L75" s="54"/>
      <c r="M75" s="54"/>
      <c r="N75" s="54"/>
      <c r="P75" s="2">
        <f t="shared" si="13"/>
        <v>0.0</v>
      </c>
    </row>
    <row r="76" spans="8:8">
      <c r="A76" s="102"/>
      <c r="B76" s="185" t="s">
        <v>67</v>
      </c>
      <c r="C76" s="115"/>
      <c r="D76" s="86">
        <f>D77+D78+D79+D80+D81+D82</f>
        <v>32.328</v>
      </c>
      <c r="E76" s="86">
        <f>E77+E78+E79+E80+E81+E82</f>
        <v>32.0497</v>
      </c>
      <c r="F76" s="86">
        <f>F77+F78+F79+F80+F81+F82</f>
        <v>115.23775</v>
      </c>
      <c r="G76" s="86">
        <f>G77+G78+G79+G80+G81+G82</f>
        <v>911.7785</v>
      </c>
      <c r="H76" s="86">
        <f t="shared" si="14" ref="H76:O76">H77+H78+H79+H80+H81</f>
        <v>0.5</v>
      </c>
      <c r="I76" s="86">
        <f t="shared" si="14"/>
        <v>53.78</v>
      </c>
      <c r="J76" s="86">
        <f t="shared" si="14"/>
        <v>0.0</v>
      </c>
      <c r="K76" s="86">
        <f t="shared" si="14"/>
        <v>106.66</v>
      </c>
      <c r="L76" s="86">
        <f t="shared" si="14"/>
        <v>165.72</v>
      </c>
      <c r="M76" s="86">
        <f t="shared" si="14"/>
        <v>61.980000000000004</v>
      </c>
      <c r="N76" s="86">
        <f t="shared" si="14"/>
        <v>5.53</v>
      </c>
      <c r="O76" s="87">
        <f t="shared" si="14"/>
        <v>89.39999999999999</v>
      </c>
      <c r="P76" s="2">
        <f t="shared" si="13"/>
        <v>908.22345</v>
      </c>
    </row>
    <row r="77" spans="8:8" ht="18.75" customHeight="1">
      <c r="A77" s="70" t="s">
        <v>171</v>
      </c>
      <c r="B77" s="43" t="s">
        <v>145</v>
      </c>
      <c r="C77" s="71">
        <v>100.0</v>
      </c>
      <c r="D77" s="49">
        <f>0.8*1.67</f>
        <v>1.336</v>
      </c>
      <c r="E77" s="49">
        <f>3.11*1.67</f>
        <v>5.1937</v>
      </c>
      <c r="F77" s="49">
        <f>5.64*1.67</f>
        <v>9.4188</v>
      </c>
      <c r="G77" s="49">
        <f>55.8*1.67</f>
        <v>93.18599999999999</v>
      </c>
      <c r="H77" s="54">
        <v>0.04</v>
      </c>
      <c r="I77" s="54">
        <v>15.0</v>
      </c>
      <c r="J77" s="50"/>
      <c r="K77" s="54">
        <v>8.4</v>
      </c>
      <c r="L77" s="54"/>
      <c r="M77" s="54"/>
      <c r="N77" s="54">
        <v>0.54</v>
      </c>
      <c r="O77" s="2">
        <v>10.9</v>
      </c>
      <c r="P77" s="2">
        <f t="shared" si="13"/>
        <v>91.91346</v>
      </c>
    </row>
    <row r="78" spans="8:8">
      <c r="A78" s="44" t="s">
        <v>165</v>
      </c>
      <c r="B78" s="184" t="s">
        <v>199</v>
      </c>
      <c r="C78" s="29">
        <v>250.0</v>
      </c>
      <c r="D78" s="46">
        <f>3*1.25</f>
        <v>3.75</v>
      </c>
      <c r="E78" s="46">
        <f>(4.61-0.21)*1.25</f>
        <v>5.5</v>
      </c>
      <c r="F78" s="46">
        <f>(12.54-0.05)*1.255</f>
        <v>15.674949999999997</v>
      </c>
      <c r="G78" s="46">
        <f>106.65*1.25</f>
        <v>133.3125</v>
      </c>
      <c r="H78" s="46" t="s">
        <v>45</v>
      </c>
      <c r="I78" s="46" t="s">
        <v>102</v>
      </c>
      <c r="J78" s="50"/>
      <c r="K78" s="46" t="s">
        <v>103</v>
      </c>
      <c r="L78" s="46" t="s">
        <v>104</v>
      </c>
      <c r="M78" s="46" t="s">
        <v>105</v>
      </c>
      <c r="N78" s="46" t="s">
        <v>106</v>
      </c>
      <c r="O78" s="2">
        <v>9.6</v>
      </c>
      <c r="P78" s="2">
        <f t="shared" si="13"/>
        <v>131.08479</v>
      </c>
    </row>
    <row r="79" spans="8:8">
      <c r="A79" s="44" t="s">
        <v>146</v>
      </c>
      <c r="B79" s="112" t="s">
        <v>147</v>
      </c>
      <c r="C79" s="22">
        <v>110.0</v>
      </c>
      <c r="D79" s="49">
        <v>5.73</v>
      </c>
      <c r="E79" s="49">
        <v>16.34</v>
      </c>
      <c r="F79" s="49">
        <v>10.38</v>
      </c>
      <c r="G79" s="49">
        <v>215.0</v>
      </c>
      <c r="H79" s="48">
        <v>0.22</v>
      </c>
      <c r="I79" s="48">
        <v>27.28</v>
      </c>
      <c r="J79" s="48"/>
      <c r="K79" s="48">
        <v>29.14</v>
      </c>
      <c r="L79" s="48">
        <v>79.98</v>
      </c>
      <c r="M79" s="48">
        <v>31.56</v>
      </c>
      <c r="N79" s="48">
        <v>2.32</v>
      </c>
      <c r="O79" s="2">
        <v>59.1</v>
      </c>
      <c r="P79" s="2">
        <f t="shared" si="13"/>
        <v>214.722</v>
      </c>
    </row>
    <row r="80" spans="8:8">
      <c r="A80" s="116" t="s">
        <v>134</v>
      </c>
      <c r="B80" s="43" t="s">
        <v>148</v>
      </c>
      <c r="C80" s="48">
        <v>180.0</v>
      </c>
      <c r="D80" s="49">
        <f>16.26*1.2</f>
        <v>19.512</v>
      </c>
      <c r="E80" s="117">
        <f>4.03*1.2</f>
        <v>4.836</v>
      </c>
      <c r="F80" s="49">
        <f>33.97*1.2</f>
        <v>40.763999999999996</v>
      </c>
      <c r="G80" s="49">
        <f>247.3*1.2</f>
        <v>296.76</v>
      </c>
      <c r="H80" s="49">
        <v>0.02</v>
      </c>
      <c r="I80" s="49"/>
      <c r="J80" s="50"/>
      <c r="K80" s="49">
        <v>20.32</v>
      </c>
      <c r="L80" s="49">
        <v>19.36</v>
      </c>
      <c r="M80" s="49">
        <v>8.12</v>
      </c>
      <c r="N80" s="49">
        <v>0.45</v>
      </c>
      <c r="O80" s="2">
        <v>7.0</v>
      </c>
      <c r="P80" s="2">
        <f t="shared" si="13"/>
        <v>296.6832</v>
      </c>
    </row>
    <row r="81" spans="8:8" ht="29.25" customHeight="1">
      <c r="A81" s="44" t="s">
        <v>42</v>
      </c>
      <c r="B81" s="43" t="s">
        <v>202</v>
      </c>
      <c r="C81" s="48">
        <v>200.0</v>
      </c>
      <c r="D81" s="49">
        <v>1.0</v>
      </c>
      <c r="E81" s="49">
        <v>0.1</v>
      </c>
      <c r="F81" s="49">
        <v>31.0</v>
      </c>
      <c r="G81" s="49">
        <v>135.0</v>
      </c>
      <c r="H81" s="29">
        <v>0.04</v>
      </c>
      <c r="I81" s="74"/>
      <c r="J81" s="74"/>
      <c r="K81" s="48">
        <v>8.0</v>
      </c>
      <c r="L81" s="74">
        <v>26.0</v>
      </c>
      <c r="M81" s="74">
        <v>5.6</v>
      </c>
      <c r="N81" s="29">
        <v>0.44</v>
      </c>
      <c r="O81" s="2">
        <v>2.8</v>
      </c>
      <c r="P81" s="2">
        <f t="shared" si="13"/>
        <v>135.3</v>
      </c>
    </row>
    <row r="82" spans="8:8">
      <c r="A82" s="38"/>
      <c r="B82" s="104" t="s">
        <v>37</v>
      </c>
      <c r="C82" s="29">
        <v>20.0</v>
      </c>
      <c r="D82" s="49">
        <v>1.0</v>
      </c>
      <c r="E82" s="46">
        <v>0.08</v>
      </c>
      <c r="F82" s="49">
        <v>8.0</v>
      </c>
      <c r="G82" s="49">
        <v>38.52</v>
      </c>
      <c r="H82" s="29"/>
      <c r="I82" s="74"/>
      <c r="J82" s="74"/>
      <c r="K82" s="48"/>
      <c r="L82" s="74"/>
      <c r="M82" s="74"/>
      <c r="N82" s="29"/>
      <c r="P82" s="2">
        <f t="shared" si="13"/>
        <v>38.519999999999996</v>
      </c>
    </row>
    <row r="83" spans="8:8">
      <c r="A83" s="38"/>
      <c r="B83" s="119"/>
      <c r="C83" s="100">
        <f>SUM(C77:C82)</f>
        <v>860.0</v>
      </c>
      <c r="D83" s="49"/>
      <c r="E83" s="46"/>
      <c r="F83" s="49"/>
      <c r="G83" s="49"/>
      <c r="H83" s="30"/>
      <c r="I83" s="25"/>
      <c r="J83" s="25"/>
      <c r="K83" s="54"/>
      <c r="L83" s="25"/>
      <c r="M83" s="25"/>
      <c r="N83" s="30"/>
      <c r="P83" s="2">
        <f t="shared" si="13"/>
        <v>0.0</v>
      </c>
    </row>
    <row r="84" spans="8:8">
      <c r="A84" s="120" t="s">
        <v>29</v>
      </c>
      <c r="B84" s="37" t="s">
        <v>13</v>
      </c>
      <c r="C84" s="33"/>
      <c r="D84" s="86">
        <f t="shared" si="15" ref="D84:O84">D85+D91</f>
        <v>41.438</v>
      </c>
      <c r="E84" s="86">
        <f t="shared" si="15"/>
        <v>48.205</v>
      </c>
      <c r="F84" s="86">
        <f t="shared" si="15"/>
        <v>191.35026</v>
      </c>
      <c r="G84" s="86">
        <f>G85+G91</f>
        <v>1411.44</v>
      </c>
      <c r="H84" s="86" t="e">
        <f t="shared" si="15"/>
        <v>#REF!</v>
      </c>
      <c r="I84" s="86" t="e">
        <f t="shared" si="15"/>
        <v>#REF!</v>
      </c>
      <c r="J84" s="86" t="e">
        <f t="shared" si="15"/>
        <v>#REF!</v>
      </c>
      <c r="K84" s="86" t="e">
        <f t="shared" si="15"/>
        <v>#REF!</v>
      </c>
      <c r="L84" s="86" t="e">
        <f t="shared" si="15"/>
        <v>#REF!</v>
      </c>
      <c r="M84" s="86" t="e">
        <f t="shared" si="15"/>
        <v>#REF!</v>
      </c>
      <c r="N84" s="86" t="e">
        <f t="shared" si="15"/>
        <v>#REF!</v>
      </c>
      <c r="O84" s="87" t="e">
        <f t="shared" si="15"/>
        <v>#REF!</v>
      </c>
      <c r="P84" s="2">
        <f t="shared" si="13"/>
        <v>1411.555692</v>
      </c>
    </row>
    <row r="85" spans="8:8">
      <c r="A85" s="121"/>
      <c r="B85" s="187" t="s">
        <v>66</v>
      </c>
      <c r="C85" s="193"/>
      <c r="D85" s="122">
        <f>D86+D87+D88+D89</f>
        <v>12.399999999999999</v>
      </c>
      <c r="E85" s="122">
        <f>E86+E87+E88+E89</f>
        <v>10.6</v>
      </c>
      <c r="F85" s="122">
        <f>F86+F87+F88+F89</f>
        <v>94.41999999999999</v>
      </c>
      <c r="G85" s="122">
        <f>G86+G87+G88+G89</f>
        <v>544.085</v>
      </c>
      <c r="H85" s="122" t="e">
        <f>H86+H87+H88+H89+#REF!</f>
        <v>#REF!</v>
      </c>
      <c r="I85" s="122" t="e">
        <f>I86+I87+I88+I89+#REF!</f>
        <v>#REF!</v>
      </c>
      <c r="J85" s="122" t="e">
        <f>J86+J87+J88+J89+#REF!</f>
        <v>#REF!</v>
      </c>
      <c r="K85" s="122" t="e">
        <f>K86+K87+K88+K89+#REF!</f>
        <v>#REF!</v>
      </c>
      <c r="L85" s="122" t="e">
        <f>L86+L87+L88+L89+#REF!</f>
        <v>#REF!</v>
      </c>
      <c r="M85" s="122" t="e">
        <f>M86+M87+M88+M89+#REF!</f>
        <v>#REF!</v>
      </c>
      <c r="N85" s="122" t="e">
        <f>N86+N87+N88+N89+#REF!</f>
        <v>#REF!</v>
      </c>
      <c r="O85" s="123" t="e">
        <f>O86+O87+O88+O89+#REF!</f>
        <v>#REF!</v>
      </c>
      <c r="P85" s="2">
        <f>(D85+F85)*4.2+E85*9</f>
        <v>544.044</v>
      </c>
      <c r="Q85" s="124">
        <f>G85-470</f>
        <v>74.08500000000004</v>
      </c>
      <c r="R85" s="2">
        <f>Q85/9</f>
        <v>8.231666666666671</v>
      </c>
    </row>
    <row r="86" spans="8:8">
      <c r="A86" s="125"/>
      <c r="B86" s="96" t="s">
        <v>41</v>
      </c>
      <c r="C86" s="97">
        <v>100.0</v>
      </c>
      <c r="D86" s="98">
        <v>0.4</v>
      </c>
      <c r="E86" s="98">
        <v>0.0</v>
      </c>
      <c r="F86" s="98">
        <v>9.8</v>
      </c>
      <c r="G86" s="98">
        <v>42.84</v>
      </c>
      <c r="H86" s="127">
        <v>0.11</v>
      </c>
      <c r="I86" s="127">
        <v>0.95</v>
      </c>
      <c r="J86" s="127">
        <v>40.0</v>
      </c>
      <c r="K86" s="127">
        <v>99.66</v>
      </c>
      <c r="L86" s="127">
        <v>71.29</v>
      </c>
      <c r="M86" s="127">
        <v>23.64</v>
      </c>
      <c r="N86" s="127">
        <v>0.79</v>
      </c>
      <c r="O86" s="2">
        <v>15.0</v>
      </c>
      <c r="P86" s="2">
        <f t="shared" si="13"/>
        <v>42.84</v>
      </c>
    </row>
    <row r="87" spans="8:8" ht="24.75" customHeight="1">
      <c r="A87" s="44" t="s">
        <v>161</v>
      </c>
      <c r="B87" s="45" t="s">
        <v>183</v>
      </c>
      <c r="C87" s="29">
        <v>203.0</v>
      </c>
      <c r="D87" s="46">
        <v>8.2</v>
      </c>
      <c r="E87" s="46">
        <v>10.2</v>
      </c>
      <c r="F87" s="46">
        <v>50.02</v>
      </c>
      <c r="G87" s="46">
        <v>336.32</v>
      </c>
      <c r="H87" s="30">
        <v>0.03</v>
      </c>
      <c r="I87" s="30">
        <v>0.65</v>
      </c>
      <c r="J87" s="25"/>
      <c r="K87" s="30">
        <v>64.43</v>
      </c>
      <c r="L87" s="25"/>
      <c r="M87" s="25"/>
      <c r="N87" s="30">
        <v>0.4</v>
      </c>
      <c r="O87" s="2">
        <v>7.7</v>
      </c>
      <c r="P87" s="2">
        <f t="shared" si="13"/>
        <v>336.324</v>
      </c>
      <c r="Q87" s="128"/>
      <c r="R87" s="129"/>
      <c r="S87" s="129"/>
      <c r="T87" s="129"/>
      <c r="U87" s="129"/>
      <c r="V87" s="129"/>
      <c r="W87" s="129"/>
      <c r="X87" s="89"/>
      <c r="Y87" s="129"/>
      <c r="Z87" s="129"/>
      <c r="AA87" s="129"/>
      <c r="AB87" s="129"/>
      <c r="AC87" s="129"/>
    </row>
    <row r="88" spans="8:8" ht="12.0" customHeight="1">
      <c r="A88" s="52" t="s">
        <v>163</v>
      </c>
      <c r="B88" s="148" t="s">
        <v>10</v>
      </c>
      <c r="C88" s="40">
        <v>200.0</v>
      </c>
      <c r="D88" s="53">
        <v>0.0</v>
      </c>
      <c r="E88" s="53">
        <v>0.0</v>
      </c>
      <c r="F88" s="53">
        <v>10.0</v>
      </c>
      <c r="G88" s="53">
        <v>42.0</v>
      </c>
      <c r="H88" s="25"/>
      <c r="I88" s="54">
        <v>0.28</v>
      </c>
      <c r="J88" s="25"/>
      <c r="K88" s="54">
        <v>100.5</v>
      </c>
      <c r="L88" s="25"/>
      <c r="M88" s="25"/>
      <c r="N88" s="54">
        <v>0.09</v>
      </c>
      <c r="O88" s="2">
        <v>9.0</v>
      </c>
      <c r="P88" s="2">
        <f t="shared" si="13"/>
        <v>42.0</v>
      </c>
      <c r="Q88" s="128"/>
      <c r="R88" s="129"/>
      <c r="S88" s="129"/>
      <c r="T88" s="129"/>
      <c r="U88" s="129"/>
      <c r="V88" s="129"/>
      <c r="W88" s="129"/>
      <c r="X88" s="89"/>
      <c r="Y88" s="129"/>
      <c r="Z88" s="129"/>
      <c r="AA88" s="129"/>
      <c r="AB88" s="129"/>
      <c r="AC88" s="129"/>
    </row>
    <row r="89" spans="8:8">
      <c r="A89" s="55"/>
      <c r="B89" s="104" t="s">
        <v>11</v>
      </c>
      <c r="C89" s="29">
        <v>50.0</v>
      </c>
      <c r="D89" s="49">
        <f>3.04*1.25</f>
        <v>3.8</v>
      </c>
      <c r="E89" s="46">
        <f>0.32*1.25</f>
        <v>0.4</v>
      </c>
      <c r="F89" s="49">
        <f>19.68*1.25</f>
        <v>24.6</v>
      </c>
      <c r="G89" s="49">
        <f>98.34*1.25</f>
        <v>122.92500000000001</v>
      </c>
      <c r="H89" s="30">
        <v>0.04</v>
      </c>
      <c r="I89" s="25"/>
      <c r="J89" s="25"/>
      <c r="K89" s="54">
        <v>7.6</v>
      </c>
      <c r="L89" s="25"/>
      <c r="M89" s="25"/>
      <c r="N89" s="30">
        <v>0.48</v>
      </c>
      <c r="O89" s="130">
        <v>4.0</v>
      </c>
      <c r="P89" s="2">
        <f t="shared" si="13"/>
        <v>122.88</v>
      </c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</row>
    <row r="90" spans="8:8">
      <c r="A90" s="57"/>
      <c r="B90" s="58"/>
      <c r="C90" s="65">
        <f>SUM(C86:C89)</f>
        <v>553.0</v>
      </c>
      <c r="D90" s="60"/>
      <c r="E90" s="61"/>
      <c r="F90" s="60"/>
      <c r="G90" s="60"/>
      <c r="H90" s="62"/>
      <c r="I90" s="63"/>
      <c r="J90" s="64"/>
      <c r="K90" s="63"/>
      <c r="L90" s="64"/>
      <c r="M90" s="64"/>
      <c r="N90" s="63"/>
      <c r="P90" s="2">
        <f t="shared" si="13"/>
        <v>0.0</v>
      </c>
    </row>
    <row r="91" spans="8:8">
      <c r="A91" s="57"/>
      <c r="B91" s="185" t="s">
        <v>67</v>
      </c>
      <c r="C91" s="65"/>
      <c r="D91" s="69">
        <f>D92+D93+D94+D95+D96</f>
        <v>29.038</v>
      </c>
      <c r="E91" s="69">
        <f>E92+E93+E94+E95+E96</f>
        <v>37.605</v>
      </c>
      <c r="F91" s="69">
        <f>F92+F93+F94+F95+F96</f>
        <v>96.93026</v>
      </c>
      <c r="G91" s="69">
        <f>G92+G93+G94+G95+G96</f>
        <v>867.355</v>
      </c>
      <c r="H91" s="69" t="e">
        <f>H92+H93+H94+H95+#REF!+H96</f>
        <v>#REF!</v>
      </c>
      <c r="I91" s="69" t="e">
        <f>I92+I93+I94+I95+#REF!+I96</f>
        <v>#REF!</v>
      </c>
      <c r="J91" s="69" t="e">
        <f>J92+J93+J94+J95+#REF!+J96</f>
        <v>#REF!</v>
      </c>
      <c r="K91" s="69" t="e">
        <f>K92+K93+K94+K95+#REF!+K96</f>
        <v>#REF!</v>
      </c>
      <c r="L91" s="69" t="e">
        <f>L92+L93+L94+L95+#REF!+L96</f>
        <v>#REF!</v>
      </c>
      <c r="M91" s="69" t="e">
        <f>M92+M93+M94+M95+#REF!+M96</f>
        <v>#REF!</v>
      </c>
      <c r="N91" s="69" t="e">
        <f>N92+N93+N94+N95+#REF!+N96</f>
        <v>#REF!</v>
      </c>
      <c r="O91" s="131" t="e">
        <f>O92+O93+O94+O95+#REF!+O96</f>
        <v>#REF!</v>
      </c>
      <c r="P91" s="2">
        <f t="shared" si="13"/>
        <v>867.511692</v>
      </c>
      <c r="Q91" s="124">
        <f>P91-705</f>
        <v>162.51169200000004</v>
      </c>
      <c r="R91" s="2">
        <f>Q91/9</f>
        <v>18.05685466666667</v>
      </c>
    </row>
    <row r="92" spans="8:8" ht="16.5" customHeight="1">
      <c r="A92" s="22" t="s">
        <v>139</v>
      </c>
      <c r="B92" s="194" t="s">
        <v>140</v>
      </c>
      <c r="C92" s="48">
        <v>100.0</v>
      </c>
      <c r="D92" s="50">
        <f>0.9*1.67</f>
        <v>1.503</v>
      </c>
      <c r="E92" s="50">
        <v>0.06</v>
      </c>
      <c r="F92" s="50">
        <f>8.28*1.667</f>
        <v>13.80276</v>
      </c>
      <c r="G92" s="50">
        <v>64.28</v>
      </c>
      <c r="H92" s="46">
        <v>0.02</v>
      </c>
      <c r="I92" s="46">
        <v>2.3</v>
      </c>
      <c r="J92" s="46">
        <v>443.0</v>
      </c>
      <c r="K92" s="46">
        <v>14.0</v>
      </c>
      <c r="L92" s="46">
        <v>28.0</v>
      </c>
      <c r="M92" s="46">
        <v>17.0</v>
      </c>
      <c r="N92" s="46">
        <v>0.45</v>
      </c>
      <c r="O92" s="2">
        <v>9.2</v>
      </c>
      <c r="P92" s="2">
        <f t="shared" si="13"/>
        <v>64.82419200000001</v>
      </c>
      <c r="S92" s="132"/>
      <c r="T92" s="133"/>
      <c r="U92" s="134"/>
      <c r="V92" s="134"/>
      <c r="W92" s="134"/>
      <c r="X92" s="134"/>
      <c r="Y92" s="134"/>
      <c r="Z92" s="129"/>
      <c r="AA92" s="129"/>
      <c r="AB92" s="129"/>
      <c r="AC92" s="129"/>
      <c r="AD92" s="129"/>
      <c r="AE92" s="129"/>
      <c r="AF92" s="129"/>
    </row>
    <row r="93" spans="8:8" ht="28.5" customHeight="1">
      <c r="A93" s="44" t="s">
        <v>124</v>
      </c>
      <c r="B93" s="45" t="s">
        <v>159</v>
      </c>
      <c r="C93" s="29">
        <v>250.0</v>
      </c>
      <c r="D93" s="46">
        <f>3.1*1.25</f>
        <v>3.875</v>
      </c>
      <c r="E93" s="46">
        <f>4.02*1.25</f>
        <v>5.0249999999999995</v>
      </c>
      <c r="F93" s="46">
        <f>16.92*1.25</f>
        <v>21.150000000000002</v>
      </c>
      <c r="G93" s="46">
        <f>120.26*1.25</f>
        <v>150.32500000000002</v>
      </c>
      <c r="H93" s="46" t="s">
        <v>118</v>
      </c>
      <c r="I93" s="46" t="s">
        <v>119</v>
      </c>
      <c r="J93" s="50"/>
      <c r="K93" s="46" t="s">
        <v>120</v>
      </c>
      <c r="L93" s="46" t="s">
        <v>121</v>
      </c>
      <c r="M93" s="46" t="s">
        <v>122</v>
      </c>
      <c r="N93" s="46" t="s">
        <v>123</v>
      </c>
      <c r="O93" s="2">
        <v>11.2</v>
      </c>
      <c r="P93" s="2">
        <f t="shared" si="13"/>
        <v>150.33</v>
      </c>
      <c r="S93" s="135"/>
      <c r="T93" s="136"/>
      <c r="U93" s="137"/>
      <c r="V93" s="138"/>
      <c r="W93" s="138"/>
      <c r="X93" s="138"/>
      <c r="Y93" s="138"/>
      <c r="Z93" s="138"/>
      <c r="AA93" s="138"/>
      <c r="AB93" s="89"/>
      <c r="AC93" s="138"/>
      <c r="AD93" s="138"/>
      <c r="AE93" s="138"/>
      <c r="AF93" s="129"/>
    </row>
    <row r="94" spans="8:8">
      <c r="A94" s="102">
        <v>218.0</v>
      </c>
      <c r="B94" s="47" t="s">
        <v>149</v>
      </c>
      <c r="C94" s="48">
        <v>250.0</v>
      </c>
      <c r="D94" s="49">
        <f>16.48*1.25</f>
        <v>20.6</v>
      </c>
      <c r="E94" s="49">
        <f>25.76*1.25</f>
        <v>32.2</v>
      </c>
      <c r="F94" s="49">
        <f>10.39*1.25</f>
        <v>12.9875</v>
      </c>
      <c r="G94" s="49">
        <f>345*1.25</f>
        <v>431.25</v>
      </c>
      <c r="H94" s="48">
        <v>0.09</v>
      </c>
      <c r="I94" s="48">
        <v>0.94</v>
      </c>
      <c r="J94" s="48"/>
      <c r="K94" s="48">
        <v>50.0</v>
      </c>
      <c r="L94" s="48">
        <v>87.8</v>
      </c>
      <c r="M94" s="48">
        <v>18.72</v>
      </c>
      <c r="N94" s="48">
        <v>1.28</v>
      </c>
      <c r="O94" s="2">
        <v>39.0</v>
      </c>
      <c r="P94" s="2">
        <f t="shared" si="13"/>
        <v>430.8675</v>
      </c>
    </row>
    <row r="95" spans="8:8" ht="24.0">
      <c r="A95" s="73" t="s">
        <v>40</v>
      </c>
      <c r="B95" s="43" t="s">
        <v>203</v>
      </c>
      <c r="C95" s="48">
        <v>200.0</v>
      </c>
      <c r="D95" s="49">
        <v>0.02</v>
      </c>
      <c r="E95" s="49"/>
      <c r="F95" s="49">
        <v>29.31</v>
      </c>
      <c r="G95" s="49">
        <v>123.16</v>
      </c>
      <c r="H95" s="48">
        <v>0.15</v>
      </c>
      <c r="I95" s="74">
        <v>21.0</v>
      </c>
      <c r="J95" s="48"/>
      <c r="K95" s="48">
        <v>14.64</v>
      </c>
      <c r="L95" s="48">
        <v>79.73</v>
      </c>
      <c r="M95" s="48">
        <v>29.33</v>
      </c>
      <c r="N95" s="48">
        <v>1.16</v>
      </c>
      <c r="O95" s="2">
        <v>23.0</v>
      </c>
      <c r="P95" s="2">
        <f t="shared" si="13"/>
        <v>123.186</v>
      </c>
      <c r="Q95" s="139"/>
      <c r="R95" s="140"/>
      <c r="S95" s="134"/>
      <c r="T95" s="134"/>
      <c r="U95" s="134"/>
      <c r="V95" s="134"/>
      <c r="W95" s="134"/>
      <c r="X95" s="134"/>
      <c r="Y95" s="141"/>
      <c r="Z95" s="134"/>
      <c r="AA95" s="134"/>
      <c r="AB95" s="134"/>
      <c r="AC95" s="134"/>
      <c r="AD95" s="134"/>
    </row>
    <row r="96" spans="8:8">
      <c r="A96" s="44"/>
      <c r="B96" s="58" t="s">
        <v>11</v>
      </c>
      <c r="C96" s="59">
        <v>40.0</v>
      </c>
      <c r="D96" s="60">
        <v>3.04</v>
      </c>
      <c r="E96" s="61">
        <v>0.32</v>
      </c>
      <c r="F96" s="60">
        <v>19.68</v>
      </c>
      <c r="G96" s="60">
        <v>98.34</v>
      </c>
      <c r="H96" s="46">
        <v>0.04</v>
      </c>
      <c r="I96" s="50"/>
      <c r="J96" s="50"/>
      <c r="K96" s="49">
        <v>7.25</v>
      </c>
      <c r="L96" s="50">
        <v>32.5</v>
      </c>
      <c r="M96" s="50">
        <v>10.5</v>
      </c>
      <c r="N96" s="46">
        <v>0.9</v>
      </c>
      <c r="O96" s="2">
        <v>3.0</v>
      </c>
      <c r="P96" s="2">
        <f t="shared" si="13"/>
        <v>98.304</v>
      </c>
    </row>
    <row r="97" spans="8:8">
      <c r="A97" s="44"/>
      <c r="B97" s="47"/>
      <c r="C97" s="100">
        <f>SUM(C92:C96)</f>
        <v>840.0</v>
      </c>
      <c r="D97" s="49"/>
      <c r="E97" s="46"/>
      <c r="F97" s="49"/>
      <c r="G97" s="49"/>
      <c r="H97" s="46"/>
      <c r="I97" s="50"/>
      <c r="J97" s="50"/>
      <c r="K97" s="49"/>
      <c r="L97" s="50"/>
      <c r="M97" s="50"/>
      <c r="N97" s="46"/>
      <c r="P97" s="2">
        <f t="shared" si="13"/>
        <v>0.0</v>
      </c>
    </row>
    <row r="98" spans="8:8">
      <c r="A98" s="37" t="s">
        <v>64</v>
      </c>
      <c r="B98" s="32"/>
      <c r="C98" s="33"/>
      <c r="D98" s="86">
        <f t="shared" si="16" ref="D98:O98">D99+D105</f>
        <v>41.0263</v>
      </c>
      <c r="E98" s="86">
        <f t="shared" si="16"/>
        <v>49.8979</v>
      </c>
      <c r="F98" s="86">
        <f t="shared" si="16"/>
        <v>229.9656</v>
      </c>
      <c r="G98" s="86">
        <f>G99+G105</f>
        <v>1613.076</v>
      </c>
      <c r="H98" s="86" t="e">
        <f t="shared" si="16"/>
        <v>#REF!</v>
      </c>
      <c r="I98" s="86" t="e">
        <f t="shared" si="16"/>
        <v>#REF!</v>
      </c>
      <c r="J98" s="86" t="e">
        <f t="shared" si="16"/>
        <v>#REF!</v>
      </c>
      <c r="K98" s="86" t="e">
        <f t="shared" si="16"/>
        <v>#REF!</v>
      </c>
      <c r="L98" s="86" t="e">
        <f t="shared" si="16"/>
        <v>#REF!</v>
      </c>
      <c r="M98" s="86" t="e">
        <f t="shared" si="16"/>
        <v>#REF!</v>
      </c>
      <c r="N98" s="86" t="e">
        <f t="shared" si="16"/>
        <v>#REF!</v>
      </c>
      <c r="O98" s="87" t="e">
        <f t="shared" si="16"/>
        <v>#REF!</v>
      </c>
      <c r="P98" s="2">
        <f t="shared" si="13"/>
        <v>1587.24708</v>
      </c>
    </row>
    <row r="99" spans="8:8">
      <c r="A99" s="142"/>
      <c r="B99" s="187" t="s">
        <v>66</v>
      </c>
      <c r="C99" s="183"/>
      <c r="D99" s="86">
        <f>D100+D101+D102+D103</f>
        <v>19.1697</v>
      </c>
      <c r="E99" s="86">
        <f>E100+E101+E102+E103</f>
        <v>11.3893</v>
      </c>
      <c r="F99" s="86">
        <f>F100+F101+F102+F103</f>
        <v>141.0103</v>
      </c>
      <c r="G99" s="86">
        <f>G100+G101+G102+G103</f>
        <v>776.031</v>
      </c>
      <c r="H99" s="115" t="e">
        <f>H100+H101+#REF!+H103</f>
        <v>#REF!</v>
      </c>
      <c r="I99" s="115" t="e">
        <f>I100+I101+#REF!+I103</f>
        <v>#REF!</v>
      </c>
      <c r="J99" s="115" t="e">
        <f>J100+J101+#REF!+J103</f>
        <v>#REF!</v>
      </c>
      <c r="K99" s="115" t="e">
        <f>K100+K101+#REF!+K103</f>
        <v>#REF!</v>
      </c>
      <c r="L99" s="115" t="e">
        <f>L100+L101+#REF!+L103</f>
        <v>#REF!</v>
      </c>
      <c r="M99" s="115" t="e">
        <f>M100+M101+#REF!+M103</f>
        <v>#REF!</v>
      </c>
      <c r="N99" s="115" t="e">
        <f>N100+N101+#REF!+N103</f>
        <v>#REF!</v>
      </c>
      <c r="O99" s="143" t="e">
        <f>O100+O101+#REF!+O103</f>
        <v>#REF!</v>
      </c>
      <c r="P99" s="2">
        <f t="shared" si="13"/>
        <v>775.2597</v>
      </c>
    </row>
    <row r="100" spans="8:8" ht="26.25" customHeight="1">
      <c r="A100" s="74" t="s">
        <v>161</v>
      </c>
      <c r="B100" s="45" t="s">
        <v>187</v>
      </c>
      <c r="C100" s="29">
        <v>203.0</v>
      </c>
      <c r="D100" s="49">
        <v>7.16</v>
      </c>
      <c r="E100" s="49">
        <v>4.66</v>
      </c>
      <c r="F100" s="49">
        <v>40.52</v>
      </c>
      <c r="G100" s="49">
        <v>242.96</v>
      </c>
      <c r="H100" s="54">
        <v>0.06</v>
      </c>
      <c r="I100" s="54">
        <v>2.82</v>
      </c>
      <c r="J100" s="25"/>
      <c r="K100" s="54">
        <v>14.58</v>
      </c>
      <c r="L100" s="54">
        <v>25.31</v>
      </c>
      <c r="M100" s="54">
        <v>6.62</v>
      </c>
      <c r="N100" s="54">
        <v>1.51</v>
      </c>
      <c r="O100" s="2">
        <v>38.0</v>
      </c>
      <c r="P100" s="2">
        <f t="shared" si="13"/>
        <v>242.196</v>
      </c>
      <c r="Q100" s="136"/>
      <c r="R100" s="137"/>
      <c r="S100" s="137"/>
      <c r="T100" s="137"/>
      <c r="U100" s="137"/>
      <c r="V100" s="137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</row>
    <row r="101" spans="8:8" ht="13.5" customHeight="1">
      <c r="A101" s="106" t="s">
        <v>179</v>
      </c>
      <c r="B101" s="43" t="s">
        <v>177</v>
      </c>
      <c r="C101" s="48">
        <v>100.0</v>
      </c>
      <c r="D101" s="49">
        <f>4.91*1.67</f>
        <v>8.1997</v>
      </c>
      <c r="E101" s="49">
        <f>3.79*1.67</f>
        <v>6.3293</v>
      </c>
      <c r="F101" s="49">
        <f>36.09*1.67</f>
        <v>60.270300000000006</v>
      </c>
      <c r="G101" s="49">
        <v>344.5</v>
      </c>
      <c r="H101" s="54">
        <v>0.3</v>
      </c>
      <c r="I101" s="25">
        <v>0.15</v>
      </c>
      <c r="J101" s="54">
        <v>21.0</v>
      </c>
      <c r="K101" s="54">
        <v>15.38</v>
      </c>
      <c r="L101" s="54">
        <v>208.35</v>
      </c>
      <c r="M101" s="54">
        <v>138.65</v>
      </c>
      <c r="N101" s="54">
        <v>4.66</v>
      </c>
      <c r="O101" s="2">
        <v>16.0</v>
      </c>
      <c r="P101" s="2">
        <f t="shared" si="13"/>
        <v>344.53770000000003</v>
      </c>
      <c r="Q101" s="140"/>
      <c r="R101" s="134"/>
      <c r="S101" s="134"/>
      <c r="T101" s="134"/>
      <c r="U101" s="134"/>
      <c r="V101" s="134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</row>
    <row r="102" spans="8:8" ht="14.25" customHeight="1">
      <c r="A102" s="116">
        <v>323.0</v>
      </c>
      <c r="B102" s="47" t="s">
        <v>151</v>
      </c>
      <c r="C102" s="48">
        <v>200.0</v>
      </c>
      <c r="D102" s="49">
        <v>0.01</v>
      </c>
      <c r="E102" s="50"/>
      <c r="F102" s="49">
        <v>15.62</v>
      </c>
      <c r="G102" s="49">
        <v>65.646</v>
      </c>
      <c r="H102" s="54"/>
      <c r="I102" s="54"/>
      <c r="J102" s="25"/>
      <c r="K102" s="54"/>
      <c r="L102" s="25"/>
      <c r="M102" s="25"/>
      <c r="N102" s="54"/>
      <c r="P102" s="2">
        <f t="shared" si="13"/>
        <v>65.646</v>
      </c>
      <c r="Q102" s="140"/>
      <c r="R102" s="134"/>
      <c r="S102" s="134"/>
      <c r="T102" s="141"/>
      <c r="U102" s="134"/>
      <c r="V102" s="134"/>
      <c r="W102" s="144"/>
      <c r="X102" s="145"/>
      <c r="Y102" s="145"/>
      <c r="Z102" s="144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</row>
    <row r="103" spans="8:8" ht="14.25" customHeight="1">
      <c r="A103" s="44"/>
      <c r="B103" s="104" t="s">
        <v>11</v>
      </c>
      <c r="C103" s="29">
        <v>50.0</v>
      </c>
      <c r="D103" s="49">
        <f>3.04*1.25</f>
        <v>3.8</v>
      </c>
      <c r="E103" s="46">
        <f>0.32*1.25</f>
        <v>0.4</v>
      </c>
      <c r="F103" s="49">
        <f>19.68*1.25</f>
        <v>24.6</v>
      </c>
      <c r="G103" s="49">
        <f>98.34*1.25</f>
        <v>122.92500000000001</v>
      </c>
      <c r="H103" s="30">
        <v>0.1</v>
      </c>
      <c r="I103" s="25"/>
      <c r="J103" s="25"/>
      <c r="K103" s="54">
        <v>17.4</v>
      </c>
      <c r="L103" s="25">
        <v>78.0</v>
      </c>
      <c r="M103" s="25">
        <v>25.2</v>
      </c>
      <c r="N103" s="30">
        <v>2.16</v>
      </c>
      <c r="O103" s="2">
        <v>3.0</v>
      </c>
      <c r="P103" s="2">
        <f t="shared" si="13"/>
        <v>122.88</v>
      </c>
      <c r="Q103" s="140"/>
      <c r="R103" s="128"/>
      <c r="S103" s="134"/>
      <c r="T103" s="128"/>
      <c r="U103" s="134"/>
      <c r="V103" s="134"/>
      <c r="W103" s="147"/>
      <c r="X103" s="144"/>
      <c r="Y103" s="144"/>
      <c r="Z103" s="144"/>
      <c r="AA103" s="144"/>
      <c r="AB103" s="144"/>
      <c r="AC103" s="144"/>
      <c r="AD103" s="144"/>
      <c r="AE103" s="144"/>
      <c r="AF103" s="144"/>
      <c r="AG103" s="145"/>
      <c r="AH103" s="144"/>
      <c r="AI103" s="144"/>
      <c r="AJ103" s="147"/>
    </row>
    <row r="104" spans="8:8" ht="18.75" customHeight="1">
      <c r="A104" s="44"/>
      <c r="B104" s="148"/>
      <c r="C104" s="65">
        <f>SUM(C100:C103)</f>
        <v>553.0</v>
      </c>
      <c r="D104" s="60"/>
      <c r="E104" s="61"/>
      <c r="F104" s="60"/>
      <c r="G104" s="60"/>
      <c r="H104" s="62"/>
      <c r="I104" s="63"/>
      <c r="J104" s="64"/>
      <c r="K104" s="63"/>
      <c r="L104" s="64"/>
      <c r="M104" s="64"/>
      <c r="N104" s="63"/>
      <c r="P104" s="2">
        <f t="shared" si="13"/>
        <v>0.0</v>
      </c>
      <c r="Q104" s="133"/>
      <c r="R104" s="137"/>
      <c r="S104" s="137"/>
      <c r="T104" s="137"/>
      <c r="U104" s="137"/>
      <c r="V104" s="137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144"/>
      <c r="AJ104" s="144"/>
    </row>
    <row r="105" spans="8:8" ht="17.25" customHeight="1">
      <c r="A105" s="85"/>
      <c r="B105" s="185" t="s">
        <v>67</v>
      </c>
      <c r="C105" s="186"/>
      <c r="D105" s="69">
        <f>D106+D107+D108+D109+D110+D111</f>
        <v>21.8566</v>
      </c>
      <c r="E105" s="69">
        <f>E106+E107+E108+E109+E110+E111</f>
        <v>38.508599999999994</v>
      </c>
      <c r="F105" s="69">
        <f>F106+F107+F108+F109+F110+F111</f>
        <v>88.95530000000001</v>
      </c>
      <c r="G105" s="69">
        <f>G106+G107+G108+G109+G110+G111</f>
        <v>837.045</v>
      </c>
      <c r="H105" s="69">
        <v>0.71</v>
      </c>
      <c r="I105" s="69">
        <v>129.11</v>
      </c>
      <c r="J105" s="69">
        <f>J106+J107+J108+J110+J111</f>
        <v>0.0</v>
      </c>
      <c r="K105" s="69">
        <v>153.91</v>
      </c>
      <c r="L105" s="69">
        <v>204.2</v>
      </c>
      <c r="M105" s="69">
        <v>74.52</v>
      </c>
      <c r="N105" s="69">
        <v>4.62</v>
      </c>
      <c r="O105" s="131">
        <v>84.3</v>
      </c>
      <c r="P105" s="2">
        <f>(D105+F105)*4.2+E105*9</f>
        <v>811.98738</v>
      </c>
      <c r="Q105" s="133"/>
      <c r="R105" s="137"/>
      <c r="S105" s="137"/>
      <c r="T105" s="137"/>
      <c r="U105" s="137"/>
      <c r="V105" s="137"/>
      <c r="W105" s="144"/>
      <c r="X105" s="144"/>
      <c r="Y105" s="144"/>
      <c r="Z105" s="144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144"/>
    </row>
    <row r="106" spans="8:8" ht="15.0" customHeight="1">
      <c r="A106" s="70" t="s">
        <v>173</v>
      </c>
      <c r="B106" s="43" t="s">
        <v>136</v>
      </c>
      <c r="C106" s="71">
        <v>100.0</v>
      </c>
      <c r="D106" s="49">
        <f>0.94*1.66</f>
        <v>1.5603999999999998</v>
      </c>
      <c r="E106" s="49">
        <f>4.06*1.66</f>
        <v>6.739599999999999</v>
      </c>
      <c r="F106" s="49">
        <f>5.96*1.66</f>
        <v>9.8936</v>
      </c>
      <c r="G106" s="49">
        <v>108.76</v>
      </c>
      <c r="H106" s="54">
        <v>0.04</v>
      </c>
      <c r="I106" s="54">
        <v>15.0</v>
      </c>
      <c r="J106" s="50"/>
      <c r="K106" s="54">
        <v>8.4</v>
      </c>
      <c r="L106" s="54"/>
      <c r="M106" s="54"/>
      <c r="N106" s="54">
        <v>0.54</v>
      </c>
      <c r="O106" s="2">
        <v>10.9</v>
      </c>
      <c r="P106" s="2">
        <f t="shared" si="13"/>
        <v>108.7632</v>
      </c>
      <c r="Q106" s="133"/>
      <c r="R106" s="137"/>
      <c r="S106" s="137"/>
      <c r="T106" s="137"/>
      <c r="U106" s="137"/>
      <c r="V106" s="137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44"/>
    </row>
    <row r="107" spans="8:8" ht="11.25" customHeight="1">
      <c r="A107" s="103" t="s">
        <v>168</v>
      </c>
      <c r="B107" s="112" t="s">
        <v>191</v>
      </c>
      <c r="C107" s="48">
        <v>250.0</v>
      </c>
      <c r="D107" s="49">
        <f>4.56*1.25</f>
        <v>5.699999999999999</v>
      </c>
      <c r="E107" s="49">
        <f>6.9*1.25</f>
        <v>8.625</v>
      </c>
      <c r="F107" s="49">
        <f>12.22*1.25</f>
        <v>15.275</v>
      </c>
      <c r="G107" s="49">
        <f>132.58*1.25</f>
        <v>165.72500000000002</v>
      </c>
      <c r="H107" s="108" t="s">
        <v>70</v>
      </c>
      <c r="I107" s="108" t="s">
        <v>107</v>
      </c>
      <c r="J107" s="50"/>
      <c r="K107" s="108" t="s">
        <v>108</v>
      </c>
      <c r="L107" s="108" t="s">
        <v>109</v>
      </c>
      <c r="M107" s="108" t="s">
        <v>110</v>
      </c>
      <c r="N107" s="46" t="s">
        <v>111</v>
      </c>
      <c r="O107" s="151">
        <v>17.6</v>
      </c>
      <c r="P107" s="2">
        <f t="shared" si="13"/>
        <v>165.72</v>
      </c>
      <c r="Q107" s="133"/>
      <c r="R107" s="137"/>
      <c r="S107" s="137"/>
      <c r="T107" s="137"/>
      <c r="U107" s="137"/>
      <c r="V107" s="137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44"/>
      <c r="AG107" s="144"/>
      <c r="AH107" s="144"/>
      <c r="AI107" s="144"/>
      <c r="AJ107" s="144"/>
    </row>
    <row r="108" spans="8:8" ht="14.25" customHeight="1">
      <c r="A108" s="103">
        <v>203.0</v>
      </c>
      <c r="B108" s="112" t="s">
        <v>181</v>
      </c>
      <c r="C108" s="150">
        <v>100.0</v>
      </c>
      <c r="D108" s="49">
        <v>9.63</v>
      </c>
      <c r="E108" s="49">
        <v>12.61</v>
      </c>
      <c r="F108" s="49">
        <v>8.51</v>
      </c>
      <c r="G108" s="49">
        <v>189.68</v>
      </c>
      <c r="H108" s="54">
        <v>0.46</v>
      </c>
      <c r="I108" s="54">
        <v>1.78</v>
      </c>
      <c r="J108" s="54"/>
      <c r="K108" s="54">
        <v>10.16</v>
      </c>
      <c r="L108" s="54">
        <v>8.54</v>
      </c>
      <c r="M108" s="54">
        <v>1.88</v>
      </c>
      <c r="N108" s="54">
        <v>1.14</v>
      </c>
      <c r="O108" s="2">
        <v>33.0</v>
      </c>
      <c r="P108" s="2">
        <f t="shared" si="13"/>
        <v>189.678</v>
      </c>
      <c r="Q108" s="133"/>
      <c r="R108" s="137"/>
      <c r="S108" s="137"/>
      <c r="T108" s="137"/>
      <c r="U108" s="137"/>
      <c r="V108" s="137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44"/>
      <c r="AG108" s="144"/>
      <c r="AH108" s="144"/>
      <c r="AI108" s="144"/>
      <c r="AJ108" s="144"/>
    </row>
    <row r="109" spans="8:8" ht="14.25" customHeight="1">
      <c r="A109" s="38" t="s">
        <v>34</v>
      </c>
      <c r="B109" s="47" t="s">
        <v>32</v>
      </c>
      <c r="C109" s="48">
        <v>200.0</v>
      </c>
      <c r="D109" s="49">
        <v>3.26</v>
      </c>
      <c r="E109" s="49">
        <f>7.8*1.33</f>
        <v>10.374</v>
      </c>
      <c r="F109" s="49">
        <f>21.99*1.33</f>
        <v>29.2467</v>
      </c>
      <c r="G109" s="49">
        <v>234.48</v>
      </c>
      <c r="H109" s="30">
        <v>0.05</v>
      </c>
      <c r="I109" s="30">
        <v>95.18</v>
      </c>
      <c r="J109" s="74"/>
      <c r="K109" s="54">
        <v>104.13</v>
      </c>
      <c r="L109" s="54">
        <v>72.31</v>
      </c>
      <c r="M109" s="54">
        <v>35.84</v>
      </c>
      <c r="N109" s="54">
        <v>1.44</v>
      </c>
      <c r="O109" s="2">
        <v>17.0</v>
      </c>
      <c r="P109" s="2">
        <f>(D109+F109)*4.2+E109*9</f>
        <v>229.89414</v>
      </c>
      <c r="Q109" s="133"/>
      <c r="R109" s="137"/>
      <c r="S109" s="137"/>
      <c r="T109" s="137"/>
      <c r="U109" s="137"/>
      <c r="V109" s="137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144"/>
      <c r="AG109" s="144"/>
      <c r="AH109" s="144"/>
      <c r="AI109" s="144"/>
      <c r="AJ109" s="144"/>
    </row>
    <row r="110" spans="8:8" ht="13.5" customHeight="1">
      <c r="A110" s="101" t="s">
        <v>175</v>
      </c>
      <c r="B110" s="184" t="s">
        <v>90</v>
      </c>
      <c r="C110" s="29">
        <v>200.0</v>
      </c>
      <c r="D110" s="153">
        <f>0.14*1.33</f>
        <v>0.18620000000000003</v>
      </c>
      <c r="E110" s="153"/>
      <c r="F110" s="46">
        <v>16.19</v>
      </c>
      <c r="G110" s="46">
        <v>89.23</v>
      </c>
      <c r="H110" s="110">
        <v>0.01</v>
      </c>
      <c r="I110" s="110">
        <v>0.65</v>
      </c>
      <c r="J110" s="111"/>
      <c r="K110" s="54">
        <v>0.47</v>
      </c>
      <c r="L110" s="25"/>
      <c r="M110" s="25"/>
      <c r="N110" s="54">
        <v>0.04</v>
      </c>
      <c r="O110" s="2">
        <v>3.0</v>
      </c>
      <c r="P110" s="2">
        <v>89.0</v>
      </c>
      <c r="Q110" s="133"/>
      <c r="R110" s="137"/>
      <c r="S110" s="137"/>
      <c r="T110" s="137"/>
      <c r="U110" s="137"/>
      <c r="V110" s="137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</row>
    <row r="111" spans="8:8" ht="13.5" customHeight="1">
      <c r="A111" s="55"/>
      <c r="B111" s="104" t="s">
        <v>11</v>
      </c>
      <c r="C111" s="29">
        <v>20.0</v>
      </c>
      <c r="D111" s="49">
        <v>1.52</v>
      </c>
      <c r="E111" s="46">
        <v>0.16</v>
      </c>
      <c r="F111" s="49">
        <v>9.84</v>
      </c>
      <c r="G111" s="49">
        <v>49.17</v>
      </c>
      <c r="H111" s="29">
        <v>0.04</v>
      </c>
      <c r="I111" s="74"/>
      <c r="J111" s="74"/>
      <c r="K111" s="48">
        <v>8.0</v>
      </c>
      <c r="L111" s="74">
        <v>26.0</v>
      </c>
      <c r="M111" s="74">
        <v>5.6</v>
      </c>
      <c r="N111" s="29">
        <v>0.44</v>
      </c>
      <c r="O111" s="2">
        <v>2.8</v>
      </c>
      <c r="P111" s="2">
        <f t="shared" si="13"/>
        <v>49.152</v>
      </c>
      <c r="Q111" s="133"/>
      <c r="R111" s="137"/>
      <c r="S111" s="137"/>
      <c r="T111" s="137"/>
      <c r="U111" s="137"/>
      <c r="V111" s="137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</row>
    <row r="112" spans="8:8">
      <c r="A112" s="154"/>
      <c r="B112" s="155"/>
      <c r="C112" s="156">
        <f>SUM(C106:C111)</f>
        <v>870.0</v>
      </c>
      <c r="D112" s="49"/>
      <c r="E112" s="46"/>
      <c r="F112" s="49"/>
      <c r="G112" s="49"/>
      <c r="H112" s="30"/>
      <c r="I112" s="25"/>
      <c r="J112" s="25"/>
      <c r="K112" s="54"/>
      <c r="L112" s="25"/>
      <c r="M112" s="25"/>
      <c r="N112" s="30"/>
      <c r="P112" s="2">
        <f t="shared" si="13"/>
        <v>0.0</v>
      </c>
      <c r="Q112" s="140"/>
      <c r="R112" s="157"/>
      <c r="S112" s="134"/>
      <c r="T112" s="128"/>
      <c r="U112" s="134"/>
      <c r="V112" s="134"/>
      <c r="W112" s="147"/>
      <c r="X112" s="144"/>
      <c r="Y112" s="144"/>
      <c r="Z112" s="144"/>
      <c r="AA112" s="144"/>
      <c r="AB112" s="144"/>
      <c r="AC112" s="144"/>
      <c r="AD112" s="144"/>
      <c r="AE112" s="144"/>
      <c r="AF112" s="144"/>
      <c r="AG112" s="145"/>
      <c r="AH112" s="144"/>
      <c r="AI112" s="144"/>
      <c r="AJ112" s="147"/>
    </row>
    <row r="113" spans="8:8">
      <c r="A113" s="120" t="s">
        <v>30</v>
      </c>
      <c r="B113" s="195" t="s">
        <v>13</v>
      </c>
      <c r="C113" s="196"/>
      <c r="D113" s="86">
        <f t="shared" si="17" ref="D113:O113">D114+D120</f>
        <v>46.29554</v>
      </c>
      <c r="E113" s="86">
        <f t="shared" si="17"/>
        <v>60.88116</v>
      </c>
      <c r="F113" s="86">
        <f t="shared" si="17"/>
        <v>209.82178</v>
      </c>
      <c r="G113" s="86">
        <f>G114+G120</f>
        <v>1626.306</v>
      </c>
      <c r="H113" s="86" t="e">
        <f t="shared" si="17"/>
        <v>#REF!</v>
      </c>
      <c r="I113" s="86" t="e">
        <f t="shared" si="17"/>
        <v>#REF!</v>
      </c>
      <c r="J113" s="86" t="e">
        <f t="shared" si="17"/>
        <v>#REF!</v>
      </c>
      <c r="K113" s="86" t="e">
        <f t="shared" si="17"/>
        <v>#REF!</v>
      </c>
      <c r="L113" s="86" t="e">
        <f t="shared" si="17"/>
        <v>#REF!</v>
      </c>
      <c r="M113" s="86" t="e">
        <f t="shared" si="17"/>
        <v>#REF!</v>
      </c>
      <c r="N113" s="86" t="e">
        <f t="shared" si="17"/>
        <v>#REF!</v>
      </c>
      <c r="O113" s="87" t="e">
        <f t="shared" si="17"/>
        <v>#REF!</v>
      </c>
      <c r="P113" s="2">
        <f t="shared" si="13"/>
        <v>1623.623184</v>
      </c>
    </row>
    <row r="114" spans="8:8">
      <c r="A114" s="120"/>
      <c r="B114" s="183" t="s">
        <v>66</v>
      </c>
      <c r="C114" s="183"/>
      <c r="D114" s="86">
        <f>D115+D116+D117+D118</f>
        <v>17.3025</v>
      </c>
      <c r="E114" s="86">
        <f>E115+E116+E117+E118</f>
        <v>13.0875</v>
      </c>
      <c r="F114" s="86">
        <f>F115+F116+F117+F118</f>
        <v>116.45750000000001</v>
      </c>
      <c r="G114" s="86">
        <f>G115+G116+G117+G118</f>
        <v>681.25</v>
      </c>
      <c r="H114" s="86" t="e">
        <f>H115+H116+H117+H118+#REF!</f>
        <v>#REF!</v>
      </c>
      <c r="I114" s="86" t="e">
        <f>I115+I116+I117+I118+#REF!</f>
        <v>#REF!</v>
      </c>
      <c r="J114" s="86" t="e">
        <f>J115+J116+J117+J118+#REF!</f>
        <v>#REF!</v>
      </c>
      <c r="K114" s="86" t="e">
        <f>K115+K116+K117+K118+#REF!</f>
        <v>#REF!</v>
      </c>
      <c r="L114" s="86" t="e">
        <f>L115+L116+L117+L118+#REF!</f>
        <v>#REF!</v>
      </c>
      <c r="M114" s="86" t="e">
        <f>M115+M116+M117+M118+#REF!</f>
        <v>#REF!</v>
      </c>
      <c r="N114" s="86" t="e">
        <f>N115+N116+N117+N118+#REF!</f>
        <v>#REF!</v>
      </c>
      <c r="O114" s="87" t="e">
        <f>O115+O116+O117+O118+#REF!</f>
        <v>#REF!</v>
      </c>
      <c r="P114" s="2">
        <f t="shared" si="13"/>
        <v>679.5795</v>
      </c>
    </row>
    <row r="115" spans="8:8" ht="24.0">
      <c r="A115" s="74" t="s">
        <v>161</v>
      </c>
      <c r="B115" s="45" t="s">
        <v>184</v>
      </c>
      <c r="C115" s="29">
        <v>253.0</v>
      </c>
      <c r="D115" s="49">
        <f>7.81*1.25</f>
        <v>9.7625</v>
      </c>
      <c r="E115" s="49">
        <f>4.55*1.25</f>
        <v>5.6875</v>
      </c>
      <c r="F115" s="49">
        <f>33.47*1.25</f>
        <v>41.8375</v>
      </c>
      <c r="G115" s="49">
        <v>267.91</v>
      </c>
      <c r="H115" s="25">
        <v>0.1</v>
      </c>
      <c r="I115" s="25">
        <v>6.03</v>
      </c>
      <c r="J115" s="25">
        <v>92.4</v>
      </c>
      <c r="K115" s="25">
        <v>52.89</v>
      </c>
      <c r="L115" s="25">
        <v>193.68</v>
      </c>
      <c r="M115" s="25">
        <v>44.45</v>
      </c>
      <c r="N115" s="25">
        <v>1.01</v>
      </c>
      <c r="O115" s="2">
        <v>35.0</v>
      </c>
      <c r="P115" s="2">
        <f t="shared" si="13"/>
        <v>267.9075</v>
      </c>
    </row>
    <row r="116" spans="8:8">
      <c r="A116" s="44"/>
      <c r="B116" s="47" t="s">
        <v>62</v>
      </c>
      <c r="C116" s="48">
        <v>60.0</v>
      </c>
      <c r="D116" s="49">
        <f>1.5*3</f>
        <v>4.5</v>
      </c>
      <c r="E116" s="50">
        <f>2.36*3</f>
        <v>7.08</v>
      </c>
      <c r="F116" s="49">
        <f>14.98*3</f>
        <v>44.94</v>
      </c>
      <c r="G116" s="49">
        <f>91*3</f>
        <v>273.0</v>
      </c>
      <c r="H116" s="54">
        <v>0.19</v>
      </c>
      <c r="I116" s="54">
        <v>31.07</v>
      </c>
      <c r="J116" s="54">
        <v>25.2</v>
      </c>
      <c r="K116" s="54">
        <v>49.59</v>
      </c>
      <c r="L116" s="54">
        <v>91.3</v>
      </c>
      <c r="M116" s="54">
        <v>35.39</v>
      </c>
      <c r="N116" s="54">
        <v>1.43</v>
      </c>
      <c r="O116" s="2">
        <v>23.0</v>
      </c>
      <c r="P116" s="2">
        <f t="shared" si="13"/>
        <v>271.368</v>
      </c>
    </row>
    <row r="117" spans="8:8">
      <c r="A117" s="52" t="s">
        <v>163</v>
      </c>
      <c r="B117" s="47" t="s">
        <v>10</v>
      </c>
      <c r="C117" s="152">
        <v>200.0</v>
      </c>
      <c r="D117" s="49">
        <v>0.0</v>
      </c>
      <c r="E117" s="46">
        <v>0.0</v>
      </c>
      <c r="F117" s="49">
        <v>10.0</v>
      </c>
      <c r="G117" s="49">
        <v>42.0</v>
      </c>
      <c r="H117" s="25"/>
      <c r="I117" s="54">
        <v>2.4</v>
      </c>
      <c r="J117" s="25"/>
      <c r="K117" s="54">
        <v>2.87</v>
      </c>
      <c r="L117" s="54">
        <v>1.32</v>
      </c>
      <c r="M117" s="54">
        <v>0.72</v>
      </c>
      <c r="N117" s="54">
        <v>0.08</v>
      </c>
      <c r="O117" s="2">
        <v>5.0</v>
      </c>
      <c r="P117" s="2">
        <f t="shared" si="13"/>
        <v>42.0</v>
      </c>
    </row>
    <row r="118" spans="8:8">
      <c r="A118" s="57"/>
      <c r="B118" s="58" t="s">
        <v>11</v>
      </c>
      <c r="C118" s="197">
        <v>40.0</v>
      </c>
      <c r="D118" s="60">
        <v>3.04</v>
      </c>
      <c r="E118" s="61">
        <v>0.32</v>
      </c>
      <c r="F118" s="60">
        <v>19.68</v>
      </c>
      <c r="G118" s="60">
        <v>98.34</v>
      </c>
      <c r="H118" s="30">
        <v>0.04</v>
      </c>
      <c r="I118" s="25"/>
      <c r="J118" s="25"/>
      <c r="K118" s="54">
        <v>8.0</v>
      </c>
      <c r="L118" s="25">
        <v>26.0</v>
      </c>
      <c r="M118" s="25">
        <v>5.6</v>
      </c>
      <c r="N118" s="30">
        <v>0.44</v>
      </c>
      <c r="O118" s="2">
        <v>2.8</v>
      </c>
      <c r="P118" s="2">
        <f t="shared" si="13"/>
        <v>98.304</v>
      </c>
    </row>
    <row r="119" spans="8:8">
      <c r="A119" s="55"/>
      <c r="B119" s="47"/>
      <c r="C119" s="198">
        <f>SUM(C115:C118)</f>
        <v>553.0</v>
      </c>
      <c r="D119" s="49"/>
      <c r="E119" s="46"/>
      <c r="F119" s="49"/>
      <c r="G119" s="49"/>
      <c r="H119" s="30"/>
      <c r="I119" s="25"/>
      <c r="J119" s="25"/>
      <c r="K119" s="54"/>
      <c r="L119" s="25"/>
      <c r="M119" s="25"/>
      <c r="N119" s="30"/>
      <c r="P119" s="2">
        <f t="shared" si="13"/>
        <v>0.0</v>
      </c>
    </row>
    <row r="120" spans="8:8">
      <c r="A120" s="55"/>
      <c r="B120" s="185" t="s">
        <v>67</v>
      </c>
      <c r="C120" s="159"/>
      <c r="D120" s="86">
        <f>D121+D122+D123+D124+D125+D126</f>
        <v>28.99304</v>
      </c>
      <c r="E120" s="86">
        <f t="shared" si="18" ref="E120:O120">E121+E122+E123+E124+E125+E126</f>
        <v>47.793659999999996</v>
      </c>
      <c r="F120" s="86">
        <f t="shared" si="18"/>
        <v>93.36428</v>
      </c>
      <c r="G120" s="86">
        <f>G121+G122+G123+G124+G125+G126</f>
        <v>945.0559999999999</v>
      </c>
      <c r="H120" s="86">
        <f t="shared" si="18"/>
        <v>0.6900000000000001</v>
      </c>
      <c r="I120" s="86">
        <f t="shared" si="18"/>
        <v>21.71</v>
      </c>
      <c r="J120" s="86">
        <f t="shared" si="18"/>
        <v>0.9</v>
      </c>
      <c r="K120" s="86">
        <f t="shared" si="18"/>
        <v>151.85</v>
      </c>
      <c r="L120" s="86">
        <f t="shared" si="18"/>
        <v>371.56</v>
      </c>
      <c r="M120" s="86">
        <f t="shared" si="18"/>
        <v>129.63</v>
      </c>
      <c r="N120" s="86">
        <f t="shared" si="18"/>
        <v>8.81</v>
      </c>
      <c r="O120" s="87">
        <f t="shared" si="18"/>
        <v>68.8</v>
      </c>
      <c r="P120" s="2">
        <f t="shared" si="13"/>
        <v>944.043684</v>
      </c>
    </row>
    <row r="121" spans="8:8">
      <c r="A121" s="44" t="s">
        <v>68</v>
      </c>
      <c r="B121" s="190" t="s">
        <v>69</v>
      </c>
      <c r="C121" s="74">
        <v>100.0</v>
      </c>
      <c r="D121" s="89">
        <f>0.84*1.666</f>
        <v>1.3994399999999998</v>
      </c>
      <c r="E121" s="46">
        <f>3.06*1.666</f>
        <v>5.09796</v>
      </c>
      <c r="F121" s="46">
        <f>6.83*1.666</f>
        <v>11.378779999999999</v>
      </c>
      <c r="G121" s="46">
        <f>59.75*1.666</f>
        <v>99.5435</v>
      </c>
      <c r="H121" s="46">
        <v>0.01</v>
      </c>
      <c r="I121" s="46">
        <v>3.99</v>
      </c>
      <c r="J121" s="46"/>
      <c r="K121" s="46">
        <v>21.28</v>
      </c>
      <c r="L121" s="46">
        <v>24.38</v>
      </c>
      <c r="M121" s="46">
        <v>12.42</v>
      </c>
      <c r="N121" s="46">
        <v>0.79</v>
      </c>
      <c r="O121" s="72">
        <v>7.8</v>
      </c>
      <c r="P121" s="2">
        <f t="shared" si="13"/>
        <v>99.550164</v>
      </c>
    </row>
    <row r="122" spans="8:8">
      <c r="A122" s="44" t="s">
        <v>130</v>
      </c>
      <c r="B122" s="45" t="s">
        <v>200</v>
      </c>
      <c r="C122" s="29">
        <v>250.0</v>
      </c>
      <c r="D122" s="46">
        <f>6.5*1.25</f>
        <v>8.125</v>
      </c>
      <c r="E122" s="46">
        <f>21.68*1.25</f>
        <v>27.1</v>
      </c>
      <c r="F122" s="46">
        <f>11.56*1.25</f>
        <v>14.450000000000001</v>
      </c>
      <c r="G122" s="46">
        <f>270.97*1.25</f>
        <v>338.71250000000003</v>
      </c>
      <c r="H122" s="46" t="s">
        <v>125</v>
      </c>
      <c r="I122" s="46" t="s">
        <v>107</v>
      </c>
      <c r="J122" s="50"/>
      <c r="K122" s="46" t="s">
        <v>126</v>
      </c>
      <c r="L122" s="46" t="s">
        <v>127</v>
      </c>
      <c r="M122" s="46" t="s">
        <v>128</v>
      </c>
      <c r="N122" s="46" t="s">
        <v>129</v>
      </c>
      <c r="O122" s="2">
        <v>16.0</v>
      </c>
      <c r="P122" s="2">
        <f t="shared" si="13"/>
        <v>338.71500000000003</v>
      </c>
    </row>
    <row r="123" spans="8:8">
      <c r="A123" s="102" t="s">
        <v>131</v>
      </c>
      <c r="B123" s="47" t="s">
        <v>141</v>
      </c>
      <c r="C123" s="48">
        <v>100.0</v>
      </c>
      <c r="D123" s="49">
        <f>11.84*1.11</f>
        <v>13.1424</v>
      </c>
      <c r="E123" s="49">
        <f>10.06*1.11</f>
        <v>11.1666</v>
      </c>
      <c r="F123" s="49">
        <f>16.03*1.11</f>
        <v>17.793300000000002</v>
      </c>
      <c r="G123" s="49">
        <f>208*1.11</f>
        <v>230.88000000000002</v>
      </c>
      <c r="H123" s="29">
        <v>0.05</v>
      </c>
      <c r="I123" s="29">
        <v>1.22</v>
      </c>
      <c r="J123" s="74"/>
      <c r="K123" s="29">
        <v>9.8</v>
      </c>
      <c r="L123" s="29">
        <v>16.87</v>
      </c>
      <c r="M123" s="29">
        <v>4.54</v>
      </c>
      <c r="N123" s="29">
        <v>1.39</v>
      </c>
      <c r="O123" s="2">
        <v>25.0</v>
      </c>
      <c r="P123" s="2">
        <f t="shared" si="13"/>
        <v>230.42933999999997</v>
      </c>
    </row>
    <row r="124" spans="8:8">
      <c r="A124" s="44" t="s">
        <v>152</v>
      </c>
      <c r="B124" s="47" t="s">
        <v>153</v>
      </c>
      <c r="C124" s="92">
        <v>200.0</v>
      </c>
      <c r="D124" s="49">
        <f>3.14*1.33</f>
        <v>4.176200000000001</v>
      </c>
      <c r="E124" s="46">
        <f>3.27*1.33</f>
        <v>4.3491</v>
      </c>
      <c r="F124" s="49">
        <f>22.34*1.33</f>
        <v>29.712200000000003</v>
      </c>
      <c r="G124" s="49">
        <v>182.0</v>
      </c>
      <c r="H124" s="30">
        <v>0.44</v>
      </c>
      <c r="I124" s="25"/>
      <c r="J124" s="25">
        <v>0.9</v>
      </c>
      <c r="K124" s="54">
        <v>78.0</v>
      </c>
      <c r="L124" s="25">
        <v>215.0</v>
      </c>
      <c r="M124" s="25">
        <v>70.0</v>
      </c>
      <c r="N124" s="30">
        <v>4.45</v>
      </c>
      <c r="O124" s="2">
        <v>10.0</v>
      </c>
      <c r="P124" s="2">
        <f t="shared" si="13"/>
        <v>181.47317999999999</v>
      </c>
    </row>
    <row r="125" spans="8:8">
      <c r="A125" s="109" t="s">
        <v>42</v>
      </c>
      <c r="B125" s="43" t="s">
        <v>201</v>
      </c>
      <c r="C125" s="48">
        <v>200.0</v>
      </c>
      <c r="D125" s="49">
        <f>1.15</f>
        <v>1.15</v>
      </c>
      <c r="E125" s="50"/>
      <c r="F125" s="49">
        <v>12.03</v>
      </c>
      <c r="G125" s="49">
        <v>55.4</v>
      </c>
      <c r="H125" s="49">
        <v>0.02</v>
      </c>
      <c r="I125" s="49"/>
      <c r="J125" s="50"/>
      <c r="K125" s="49">
        <v>20.32</v>
      </c>
      <c r="L125" s="49">
        <v>19.36</v>
      </c>
      <c r="M125" s="49">
        <v>8.12</v>
      </c>
      <c r="N125" s="49">
        <v>0.45</v>
      </c>
      <c r="O125" s="2">
        <v>7.0</v>
      </c>
      <c r="P125" s="2">
        <f t="shared" si="13"/>
        <v>55.356</v>
      </c>
    </row>
    <row r="126" spans="8:8">
      <c r="A126" s="55"/>
      <c r="B126" s="104" t="s">
        <v>37</v>
      </c>
      <c r="C126" s="29">
        <v>20.0</v>
      </c>
      <c r="D126" s="49">
        <v>1.0</v>
      </c>
      <c r="E126" s="46">
        <v>0.08</v>
      </c>
      <c r="F126" s="49">
        <v>8.0</v>
      </c>
      <c r="G126" s="49">
        <v>38.52</v>
      </c>
      <c r="H126" s="46">
        <v>0.04</v>
      </c>
      <c r="I126" s="50"/>
      <c r="J126" s="50"/>
      <c r="K126" s="49">
        <v>7.25</v>
      </c>
      <c r="L126" s="50">
        <v>32.5</v>
      </c>
      <c r="M126" s="50">
        <v>10.5</v>
      </c>
      <c r="N126" s="46">
        <v>0.9</v>
      </c>
      <c r="O126" s="2">
        <v>3.0</v>
      </c>
      <c r="P126" s="2">
        <f t="shared" si="13"/>
        <v>38.519999999999996</v>
      </c>
    </row>
    <row r="127" spans="8:8">
      <c r="A127" s="44"/>
      <c r="B127" s="47"/>
      <c r="C127" s="100">
        <f>SUM(C121:C126)</f>
        <v>870.0</v>
      </c>
      <c r="D127" s="49"/>
      <c r="E127" s="46"/>
      <c r="F127" s="49"/>
      <c r="G127" s="49"/>
      <c r="H127" s="30"/>
      <c r="I127" s="25"/>
      <c r="J127" s="25"/>
      <c r="K127" s="54"/>
      <c r="L127" s="25"/>
      <c r="M127" s="25"/>
      <c r="N127" s="30"/>
      <c r="P127" s="2">
        <f t="shared" si="13"/>
        <v>0.0</v>
      </c>
    </row>
    <row r="128" spans="8:8">
      <c r="A128" s="120" t="s">
        <v>31</v>
      </c>
      <c r="B128" s="37" t="s">
        <v>13</v>
      </c>
      <c r="C128" s="33"/>
      <c r="D128" s="86">
        <f>D129+D136</f>
        <v>59.393299999999996</v>
      </c>
      <c r="E128" s="86">
        <f t="shared" si="19" ref="E128:O128">E129+E136</f>
        <v>44.8603</v>
      </c>
      <c r="F128" s="86">
        <f t="shared" si="19"/>
        <v>211.2491</v>
      </c>
      <c r="G128" s="86">
        <f>G129+G136</f>
        <v>1540.252</v>
      </c>
      <c r="H128" s="86">
        <f t="shared" si="19"/>
        <v>0.7090000000000001</v>
      </c>
      <c r="I128" s="86">
        <f t="shared" si="19"/>
        <v>50.81</v>
      </c>
      <c r="J128" s="86">
        <f t="shared" si="19"/>
        <v>56.41</v>
      </c>
      <c r="K128" s="86">
        <f t="shared" si="19"/>
        <v>155.64999999999998</v>
      </c>
      <c r="L128" s="86">
        <f t="shared" si="19"/>
        <v>538.96</v>
      </c>
      <c r="M128" s="86">
        <f t="shared" si="19"/>
        <v>102.84</v>
      </c>
      <c r="N128" s="86">
        <f t="shared" si="19"/>
        <v>11.25</v>
      </c>
      <c r="O128" s="87">
        <f t="shared" si="19"/>
        <v>163.9</v>
      </c>
      <c r="P128" s="2">
        <f t="shared" si="13"/>
        <v>1540.44078</v>
      </c>
    </row>
    <row r="129" spans="8:8">
      <c r="A129" s="160"/>
      <c r="B129" s="187" t="s">
        <v>66</v>
      </c>
      <c r="C129" s="188"/>
      <c r="D129" s="86">
        <f>D130+D131+D132+D133+D134</f>
        <v>35.6536</v>
      </c>
      <c r="E129" s="86">
        <f t="shared" si="20" ref="E129:O129">E130+E131+E132+E133+E134</f>
        <v>14.3833</v>
      </c>
      <c r="F129" s="86">
        <f>F130+F131+F132+F133+F134</f>
        <v>83.43</v>
      </c>
      <c r="G129" s="86">
        <f>G130+G131+G132+G133+G134</f>
        <v>629.687</v>
      </c>
      <c r="H129" s="86">
        <f t="shared" si="20"/>
        <v>0.43</v>
      </c>
      <c r="I129" s="86">
        <f t="shared" si="20"/>
        <v>29.64</v>
      </c>
      <c r="J129" s="86">
        <f t="shared" si="20"/>
        <v>31.21</v>
      </c>
      <c r="K129" s="86">
        <f t="shared" si="20"/>
        <v>66.05</v>
      </c>
      <c r="L129" s="86">
        <f t="shared" si="20"/>
        <v>341.06</v>
      </c>
      <c r="M129" s="86">
        <f t="shared" si="20"/>
        <v>38.28</v>
      </c>
      <c r="N129" s="86">
        <f t="shared" si="20"/>
        <v>6.6000000000000005</v>
      </c>
      <c r="O129" s="87">
        <f t="shared" si="20"/>
        <v>71.7</v>
      </c>
      <c r="P129" s="2">
        <f t="shared" si="13"/>
        <v>629.60082</v>
      </c>
    </row>
    <row r="130" spans="8:8" ht="16.5" customHeight="1">
      <c r="A130" s="70"/>
      <c r="B130" s="43" t="s">
        <v>154</v>
      </c>
      <c r="C130" s="71">
        <v>40.0</v>
      </c>
      <c r="D130" s="49">
        <v>5.08</v>
      </c>
      <c r="E130" s="49">
        <v>4.6</v>
      </c>
      <c r="F130" s="49">
        <v>0.28</v>
      </c>
      <c r="G130" s="49">
        <v>63.912</v>
      </c>
      <c r="H130" s="54">
        <v>0.05</v>
      </c>
      <c r="I130" s="54">
        <v>4.3</v>
      </c>
      <c r="J130" s="54"/>
      <c r="K130" s="54">
        <v>8.6</v>
      </c>
      <c r="L130" s="54">
        <v>26.66</v>
      </c>
      <c r="M130" s="54">
        <v>9.03</v>
      </c>
      <c r="N130" s="54">
        <v>0.3</v>
      </c>
      <c r="O130" s="2">
        <v>23.9</v>
      </c>
      <c r="P130" s="2">
        <f t="shared" si="13"/>
        <v>63.912</v>
      </c>
    </row>
    <row r="131" spans="8:8">
      <c r="A131" s="74" t="s">
        <v>39</v>
      </c>
      <c r="B131" s="161" t="s">
        <v>155</v>
      </c>
      <c r="C131" s="162">
        <v>160.0</v>
      </c>
      <c r="D131" s="163">
        <f>18.92*1.33+0.06</f>
        <v>25.223599999999998</v>
      </c>
      <c r="E131" s="163">
        <f>7.01*1.33+0.06</f>
        <v>9.3833</v>
      </c>
      <c r="F131" s="163">
        <f>15*1.33+16.77</f>
        <v>36.72</v>
      </c>
      <c r="G131" s="163">
        <v>344.61</v>
      </c>
      <c r="H131" s="30">
        <v>0.23</v>
      </c>
      <c r="I131" s="30">
        <v>24.76</v>
      </c>
      <c r="J131" s="25">
        <v>6.01</v>
      </c>
      <c r="K131" s="30">
        <v>18.68</v>
      </c>
      <c r="L131" s="30">
        <v>233.56</v>
      </c>
      <c r="M131" s="30">
        <v>13.8</v>
      </c>
      <c r="N131" s="30">
        <v>5.18</v>
      </c>
      <c r="O131" s="2">
        <v>30.0</v>
      </c>
      <c r="P131" s="2">
        <f t="shared" si="13"/>
        <v>344.61282</v>
      </c>
    </row>
    <row r="132" spans="8:8">
      <c r="A132" s="125"/>
      <c r="B132" s="96" t="s">
        <v>41</v>
      </c>
      <c r="C132" s="97">
        <v>100.0</v>
      </c>
      <c r="D132" s="98">
        <v>0.4</v>
      </c>
      <c r="E132" s="98">
        <v>0.0</v>
      </c>
      <c r="F132" s="98">
        <v>9.8</v>
      </c>
      <c r="G132" s="98">
        <v>42.84</v>
      </c>
      <c r="H132" s="54">
        <v>0.1</v>
      </c>
      <c r="I132" s="25"/>
      <c r="J132" s="54">
        <v>25.2</v>
      </c>
      <c r="K132" s="54">
        <v>13.46</v>
      </c>
      <c r="L132" s="54">
        <v>54.84</v>
      </c>
      <c r="M132" s="54">
        <v>9.85</v>
      </c>
      <c r="N132" s="54">
        <v>0.03</v>
      </c>
      <c r="O132" s="2">
        <v>8.0</v>
      </c>
      <c r="P132" s="2">
        <f t="shared" si="13"/>
        <v>42.84</v>
      </c>
    </row>
    <row r="133" spans="8:8" ht="16.5" customHeight="1">
      <c r="A133" s="81" t="s">
        <v>42</v>
      </c>
      <c r="B133" s="43" t="s">
        <v>201</v>
      </c>
      <c r="C133" s="48">
        <v>200.0</v>
      </c>
      <c r="D133" s="49">
        <v>1.15</v>
      </c>
      <c r="E133" s="50"/>
      <c r="F133" s="49">
        <v>12.03</v>
      </c>
      <c r="G133" s="49">
        <v>55.4</v>
      </c>
      <c r="H133" s="82">
        <v>0.01</v>
      </c>
      <c r="I133" s="82">
        <v>0.58</v>
      </c>
      <c r="J133" s="83"/>
      <c r="K133" s="82">
        <v>17.31</v>
      </c>
      <c r="L133" s="83"/>
      <c r="M133" s="83"/>
      <c r="N133" s="82">
        <v>0.65</v>
      </c>
      <c r="O133" s="2">
        <v>7.0</v>
      </c>
      <c r="P133" s="2">
        <f t="shared" si="13"/>
        <v>55.356</v>
      </c>
    </row>
    <row r="134" spans="8:8">
      <c r="A134" s="57"/>
      <c r="B134" s="104" t="s">
        <v>11</v>
      </c>
      <c r="C134" s="29">
        <v>50.0</v>
      </c>
      <c r="D134" s="49">
        <f>3.04*1.25</f>
        <v>3.8</v>
      </c>
      <c r="E134" s="46">
        <f>0.32*1.25</f>
        <v>0.4</v>
      </c>
      <c r="F134" s="49">
        <f>19.68*1.25</f>
        <v>24.6</v>
      </c>
      <c r="G134" s="49">
        <f>98.34*1.25</f>
        <v>122.92500000000001</v>
      </c>
      <c r="H134" s="30">
        <v>0.04</v>
      </c>
      <c r="I134" s="25"/>
      <c r="J134" s="25"/>
      <c r="K134" s="54">
        <v>8.0</v>
      </c>
      <c r="L134" s="25">
        <v>26.0</v>
      </c>
      <c r="M134" s="25">
        <v>5.6</v>
      </c>
      <c r="N134" s="30">
        <v>0.44</v>
      </c>
      <c r="O134" s="2">
        <v>2.8</v>
      </c>
      <c r="P134" s="2">
        <f t="shared" si="13"/>
        <v>122.88</v>
      </c>
    </row>
    <row r="135" spans="8:8">
      <c r="A135" s="44"/>
      <c r="B135" s="118"/>
      <c r="C135" s="100">
        <f>SUM(C130:C134)</f>
        <v>550.0</v>
      </c>
      <c r="D135" s="53"/>
      <c r="E135" s="53"/>
      <c r="F135" s="53"/>
      <c r="G135" s="53"/>
      <c r="H135" s="54"/>
      <c r="I135" s="25"/>
      <c r="J135" s="25"/>
      <c r="K135" s="54"/>
      <c r="L135" s="25"/>
      <c r="M135" s="25"/>
      <c r="N135" s="54"/>
      <c r="P135" s="2">
        <f t="shared" si="13"/>
        <v>0.0</v>
      </c>
    </row>
    <row r="136" spans="8:8" ht="18.75" customHeight="1">
      <c r="A136" s="44"/>
      <c r="B136" s="185" t="s">
        <v>67</v>
      </c>
      <c r="C136" s="100"/>
      <c r="D136" s="86">
        <f>D137+D138+D139+D140+D141+D142</f>
        <v>23.7397</v>
      </c>
      <c r="E136" s="86">
        <f t="shared" si="21" ref="E136:O136">E137+E138+E139+E140+E141+E142</f>
        <v>30.476999999999997</v>
      </c>
      <c r="F136" s="86">
        <f t="shared" si="21"/>
        <v>127.8191</v>
      </c>
      <c r="G136" s="86">
        <f>G137+G138+G139+G140+G141+G142</f>
        <v>910.5649999999999</v>
      </c>
      <c r="H136" s="86">
        <f t="shared" si="21"/>
        <v>0.27899999999999997</v>
      </c>
      <c r="I136" s="86">
        <f t="shared" si="21"/>
        <v>21.17</v>
      </c>
      <c r="J136" s="86">
        <f t="shared" si="21"/>
        <v>25.2</v>
      </c>
      <c r="K136" s="86">
        <f t="shared" si="21"/>
        <v>89.6</v>
      </c>
      <c r="L136" s="86">
        <f t="shared" si="21"/>
        <v>197.9</v>
      </c>
      <c r="M136" s="86">
        <f t="shared" si="21"/>
        <v>64.56</v>
      </c>
      <c r="N136" s="86">
        <f t="shared" si="21"/>
        <v>4.65</v>
      </c>
      <c r="O136" s="87">
        <f t="shared" si="21"/>
        <v>92.2</v>
      </c>
      <c r="P136" s="2">
        <f t="shared" si="13"/>
        <v>910.83996</v>
      </c>
    </row>
    <row r="137" spans="8:8">
      <c r="A137" s="44" t="s">
        <v>82</v>
      </c>
      <c r="B137" s="190" t="s">
        <v>83</v>
      </c>
      <c r="C137" s="74">
        <v>100.0</v>
      </c>
      <c r="D137" s="89">
        <f>1.21*1.67</f>
        <v>2.0206999999999997</v>
      </c>
      <c r="E137" s="46">
        <f>6.2*1.67</f>
        <v>10.354</v>
      </c>
      <c r="F137" s="46">
        <f>12.33*1.67</f>
        <v>20.5911</v>
      </c>
      <c r="G137" s="46">
        <f>113*1.67</f>
        <v>188.70999999999998</v>
      </c>
      <c r="H137" s="46">
        <v>0.02</v>
      </c>
      <c r="I137" s="46">
        <v>2.53</v>
      </c>
      <c r="J137" s="46"/>
      <c r="K137" s="46">
        <v>27.92</v>
      </c>
      <c r="L137" s="46">
        <v>36.55</v>
      </c>
      <c r="M137" s="46">
        <v>19.35</v>
      </c>
      <c r="N137" s="46">
        <v>0.6</v>
      </c>
      <c r="O137" s="72">
        <v>10.8</v>
      </c>
      <c r="P137" s="2">
        <f t="shared" si="22" ref="P137:P143">(D137+F137)*4.2+E137*9</f>
        <v>188.15556</v>
      </c>
    </row>
    <row r="138" spans="8:8" ht="24.0">
      <c r="A138" s="44" t="s">
        <v>124</v>
      </c>
      <c r="B138" s="45" t="s">
        <v>159</v>
      </c>
      <c r="C138" s="29">
        <v>250.0</v>
      </c>
      <c r="D138" s="46">
        <f>3.1*1.25</f>
        <v>3.875</v>
      </c>
      <c r="E138" s="46">
        <f>4.02*1.25</f>
        <v>5.0249999999999995</v>
      </c>
      <c r="F138" s="46">
        <f>16.92*1.25</f>
        <v>21.150000000000002</v>
      </c>
      <c r="G138" s="46">
        <f>120.26*1.25</f>
        <v>150.32500000000002</v>
      </c>
      <c r="H138" s="46">
        <v>0.13</v>
      </c>
      <c r="I138" s="46">
        <v>16.52</v>
      </c>
      <c r="J138" s="50"/>
      <c r="K138" s="46">
        <v>19.05</v>
      </c>
      <c r="L138" s="46">
        <v>66.5</v>
      </c>
      <c r="M138" s="46">
        <v>26.6</v>
      </c>
      <c r="N138" s="46">
        <v>0.98</v>
      </c>
      <c r="O138" s="2">
        <v>7.6</v>
      </c>
      <c r="P138" s="2">
        <f t="shared" si="22"/>
        <v>150.33</v>
      </c>
    </row>
    <row r="139" spans="8:8">
      <c r="A139" s="70">
        <v>370.0</v>
      </c>
      <c r="B139" s="43" t="s">
        <v>138</v>
      </c>
      <c r="C139" s="71">
        <v>115.0</v>
      </c>
      <c r="D139" s="49">
        <v>6.32</v>
      </c>
      <c r="E139" s="49">
        <v>8.79</v>
      </c>
      <c r="F139" s="49">
        <v>19.37</v>
      </c>
      <c r="G139" s="49">
        <v>187.01</v>
      </c>
      <c r="H139" s="54">
        <v>0.08</v>
      </c>
      <c r="I139" s="54">
        <v>0.6</v>
      </c>
      <c r="J139" s="25"/>
      <c r="K139" s="54">
        <v>17.6</v>
      </c>
      <c r="L139" s="54">
        <v>13.35</v>
      </c>
      <c r="M139" s="54">
        <v>2.94</v>
      </c>
      <c r="N139" s="54">
        <v>2.26</v>
      </c>
      <c r="O139" s="2">
        <v>59.0</v>
      </c>
      <c r="P139" s="2">
        <f t="shared" si="22"/>
        <v>187.00799999999998</v>
      </c>
    </row>
    <row r="140" spans="8:8">
      <c r="A140" s="75" t="s">
        <v>38</v>
      </c>
      <c r="B140" s="184" t="s">
        <v>36</v>
      </c>
      <c r="C140" s="48">
        <v>180.0</v>
      </c>
      <c r="D140" s="49">
        <f>8.77*1.2</f>
        <v>10.524</v>
      </c>
      <c r="E140" s="49">
        <f>5.19*1.2</f>
        <v>6.228000000000001</v>
      </c>
      <c r="F140" s="49">
        <f>39.6*1.23</f>
        <v>48.708</v>
      </c>
      <c r="G140" s="49">
        <v>304.0</v>
      </c>
      <c r="H140" s="48"/>
      <c r="I140" s="74"/>
      <c r="J140" s="48">
        <v>25.2</v>
      </c>
      <c r="K140" s="48">
        <v>13.46</v>
      </c>
      <c r="L140" s="48">
        <v>54.84</v>
      </c>
      <c r="M140" s="48">
        <v>9.85</v>
      </c>
      <c r="N140" s="48">
        <v>0.03</v>
      </c>
      <c r="O140" s="2">
        <v>7.0</v>
      </c>
      <c r="P140" s="2">
        <f t="shared" si="22"/>
        <v>304.82640000000004</v>
      </c>
    </row>
    <row r="141" spans="8:8">
      <c r="A141" s="52" t="s">
        <v>163</v>
      </c>
      <c r="B141" s="148" t="s">
        <v>10</v>
      </c>
      <c r="C141" s="40">
        <v>200.0</v>
      </c>
      <c r="D141" s="53">
        <v>0.0</v>
      </c>
      <c r="E141" s="53">
        <v>0.0</v>
      </c>
      <c r="F141" s="53">
        <v>10.0</v>
      </c>
      <c r="G141" s="53">
        <v>42.0</v>
      </c>
      <c r="H141" s="49">
        <v>0.009</v>
      </c>
      <c r="I141" s="49">
        <v>1.52</v>
      </c>
      <c r="J141" s="50"/>
      <c r="K141" s="49">
        <v>3.57</v>
      </c>
      <c r="L141" s="49">
        <v>0.66</v>
      </c>
      <c r="M141" s="49">
        <v>0.22</v>
      </c>
      <c r="N141" s="49">
        <v>0.34</v>
      </c>
      <c r="O141" s="2">
        <v>5.0</v>
      </c>
      <c r="P141" s="2">
        <f t="shared" si="22"/>
        <v>42.0</v>
      </c>
    </row>
    <row r="142" spans="8:8" ht="12.0" customHeight="1">
      <c r="A142" s="55"/>
      <c r="B142" s="104" t="s">
        <v>37</v>
      </c>
      <c r="C142" s="29">
        <v>20.0</v>
      </c>
      <c r="D142" s="49">
        <v>1.0</v>
      </c>
      <c r="E142" s="46">
        <v>0.08</v>
      </c>
      <c r="F142" s="49">
        <v>8.0</v>
      </c>
      <c r="G142" s="49">
        <v>38.52</v>
      </c>
      <c r="H142" s="29">
        <v>0.04</v>
      </c>
      <c r="I142" s="74"/>
      <c r="J142" s="74"/>
      <c r="K142" s="48">
        <v>8.0</v>
      </c>
      <c r="L142" s="74">
        <v>26.0</v>
      </c>
      <c r="M142" s="74">
        <v>5.6</v>
      </c>
      <c r="N142" s="29">
        <v>0.44</v>
      </c>
      <c r="O142" s="2">
        <v>2.8</v>
      </c>
      <c r="P142" s="2">
        <f t="shared" si="22"/>
        <v>38.519999999999996</v>
      </c>
    </row>
    <row r="143" spans="8:8">
      <c r="A143" s="164"/>
      <c r="B143" s="47"/>
      <c r="C143" s="105">
        <f>SUM(C137:C142)</f>
        <v>865.0</v>
      </c>
      <c r="D143" s="49"/>
      <c r="E143" s="46"/>
      <c r="F143" s="49"/>
      <c r="G143" s="49"/>
      <c r="H143" s="29"/>
      <c r="I143" s="74"/>
      <c r="J143" s="74"/>
      <c r="K143" s="48"/>
      <c r="L143" s="74"/>
      <c r="M143" s="74"/>
      <c r="N143" s="29"/>
      <c r="P143" s="2">
        <f t="shared" si="22"/>
        <v>0.0</v>
      </c>
    </row>
    <row r="144" spans="8:8">
      <c r="A144" s="160" t="s">
        <v>63</v>
      </c>
      <c r="B144" s="32" t="s">
        <v>13</v>
      </c>
      <c r="C144" s="33"/>
      <c r="D144" s="86">
        <f>D145+D152</f>
        <v>49.4819</v>
      </c>
      <c r="E144" s="86">
        <f t="shared" si="23" ref="E144:O144">E145+E152</f>
        <v>51.6927</v>
      </c>
      <c r="F144" s="86">
        <f t="shared" si="23"/>
        <v>188.2019</v>
      </c>
      <c r="G144" s="86">
        <f>G145+G152</f>
        <v>1465.4585</v>
      </c>
      <c r="H144" s="86">
        <f t="shared" si="23"/>
        <v>0.6000000000000001</v>
      </c>
      <c r="I144" s="86">
        <f t="shared" si="23"/>
        <v>71.45</v>
      </c>
      <c r="J144" s="86">
        <f t="shared" si="23"/>
        <v>0.34</v>
      </c>
      <c r="K144" s="86">
        <f t="shared" si="23"/>
        <v>281.49</v>
      </c>
      <c r="L144" s="86">
        <f t="shared" si="23"/>
        <v>332.28</v>
      </c>
      <c r="M144" s="86">
        <f t="shared" si="23"/>
        <v>76.59</v>
      </c>
      <c r="N144" s="86">
        <f t="shared" si="23"/>
        <v>10.55</v>
      </c>
      <c r="O144" s="87">
        <f t="shared" si="23"/>
        <v>160.7</v>
      </c>
      <c r="P144" s="165"/>
      <c r="Q144" s="165"/>
      <c r="R144" s="165"/>
      <c r="S144" s="166"/>
      <c r="T144" s="166"/>
      <c r="U144" s="166"/>
      <c r="V144" s="166"/>
      <c r="W144" s="166"/>
      <c r="X144" s="166"/>
      <c r="Y144" s="166"/>
      <c r="Z144" s="166"/>
      <c r="AA144" s="166"/>
      <c r="AB144" s="166"/>
      <c r="AC144" s="166"/>
      <c r="AD144" s="166"/>
      <c r="AE144" s="166"/>
      <c r="AF144" s="166"/>
      <c r="AG144" s="166"/>
      <c r="AH144" s="166"/>
      <c r="AI144" s="166"/>
      <c r="AJ144" s="166"/>
      <c r="AK144" s="167"/>
    </row>
    <row r="145" spans="8:8">
      <c r="A145" s="120"/>
      <c r="B145" s="187" t="s">
        <v>66</v>
      </c>
      <c r="C145" s="183"/>
      <c r="D145" s="86">
        <f>D146+D147+D148+D149+D150</f>
        <v>26.382</v>
      </c>
      <c r="E145" s="86">
        <f>E146+E147+E148+E149+E150</f>
        <v>13.664</v>
      </c>
      <c r="F145" s="86">
        <f>F146+F147+F148+F149+F150</f>
        <v>87.74000000000001</v>
      </c>
      <c r="G145" s="86">
        <f>G146+G147+G148+G149+G150</f>
        <v>603.101</v>
      </c>
      <c r="H145" s="86">
        <f t="shared" si="24" ref="H145:O145">H146+H147+H148+H150</f>
        <v>0.2</v>
      </c>
      <c r="I145" s="86">
        <f t="shared" si="24"/>
        <v>17.75</v>
      </c>
      <c r="J145" s="86">
        <f t="shared" si="24"/>
        <v>0.34</v>
      </c>
      <c r="K145" s="86">
        <f t="shared" si="24"/>
        <v>158.6</v>
      </c>
      <c r="L145" s="86">
        <f t="shared" si="24"/>
        <v>188.4</v>
      </c>
      <c r="M145" s="86">
        <f t="shared" si="24"/>
        <v>24.8</v>
      </c>
      <c r="N145" s="86">
        <f t="shared" si="24"/>
        <v>5.07</v>
      </c>
      <c r="O145" s="87">
        <f t="shared" si="24"/>
        <v>77.5</v>
      </c>
      <c r="P145" s="168">
        <f>(D145+F145)*4.2+E145*9</f>
        <v>602.2884</v>
      </c>
      <c r="Q145" s="168"/>
      <c r="R145" s="168"/>
      <c r="S145" s="166"/>
      <c r="T145" s="166"/>
      <c r="U145" s="166"/>
      <c r="V145" s="166"/>
      <c r="W145" s="166"/>
      <c r="X145" s="166"/>
      <c r="Y145" s="166"/>
      <c r="Z145" s="166"/>
      <c r="AA145" s="166"/>
      <c r="AB145" s="166"/>
      <c r="AC145" s="166"/>
      <c r="AD145" s="166"/>
      <c r="AE145" s="166"/>
      <c r="AF145" s="166"/>
      <c r="AG145" s="166"/>
      <c r="AH145" s="166"/>
      <c r="AI145" s="166"/>
      <c r="AJ145" s="166"/>
      <c r="AK145" s="167"/>
    </row>
    <row r="146" spans="8:8">
      <c r="A146" s="38">
        <v>110.0</v>
      </c>
      <c r="B146" s="47" t="s">
        <v>156</v>
      </c>
      <c r="C146" s="48">
        <v>100.0</v>
      </c>
      <c r="D146" s="49">
        <v>17.83</v>
      </c>
      <c r="E146" s="49">
        <v>7.99</v>
      </c>
      <c r="F146" s="49">
        <v>4.25</v>
      </c>
      <c r="G146" s="49">
        <v>165.0</v>
      </c>
      <c r="H146" s="48">
        <v>0.11</v>
      </c>
      <c r="I146" s="169">
        <v>1.75</v>
      </c>
      <c r="J146" s="48">
        <v>0.34</v>
      </c>
      <c r="K146" s="48">
        <v>124.93</v>
      </c>
      <c r="L146" s="48">
        <v>188.4</v>
      </c>
      <c r="M146" s="48">
        <v>24.8</v>
      </c>
      <c r="N146" s="48">
        <v>1.03</v>
      </c>
      <c r="O146" s="2">
        <v>49.0</v>
      </c>
      <c r="P146" s="168">
        <f t="shared" si="25" ref="P146:P160">(D146+F146)*4.2+E146*9</f>
        <v>164.64600000000002</v>
      </c>
      <c r="Q146" s="140"/>
      <c r="R146" s="134"/>
      <c r="S146" s="134"/>
      <c r="T146" s="134"/>
      <c r="U146" s="134"/>
      <c r="V146" s="134"/>
      <c r="W146" s="145"/>
      <c r="X146" s="145"/>
      <c r="Y146" s="145"/>
      <c r="Z146" s="144"/>
      <c r="AA146" s="145"/>
      <c r="AB146" s="145"/>
      <c r="AC146" s="145"/>
      <c r="AD146" s="145"/>
      <c r="AE146" s="145"/>
      <c r="AF146" s="145"/>
      <c r="AG146" s="145"/>
      <c r="AH146" s="145"/>
      <c r="AI146" s="145"/>
      <c r="AJ146" s="145"/>
    </row>
    <row r="147" spans="8:8">
      <c r="A147" s="199" t="s">
        <v>170</v>
      </c>
      <c r="B147" s="184" t="s">
        <v>150</v>
      </c>
      <c r="C147" s="48">
        <v>180.0</v>
      </c>
      <c r="D147" s="49">
        <f>3.81*1.2</f>
        <v>4.572</v>
      </c>
      <c r="E147" s="49">
        <f>2.72*1.2</f>
        <v>3.2640000000000002</v>
      </c>
      <c r="F147" s="49">
        <f>40*1.2</f>
        <v>48.0</v>
      </c>
      <c r="G147" s="49">
        <f>208.48*1.2</f>
        <v>250.176</v>
      </c>
      <c r="H147" s="25"/>
      <c r="I147" s="25"/>
      <c r="J147" s="25"/>
      <c r="K147" s="48">
        <v>0.47</v>
      </c>
      <c r="L147" s="22"/>
      <c r="M147" s="22"/>
      <c r="N147" s="48">
        <v>0.04</v>
      </c>
      <c r="O147" s="2">
        <v>2.5</v>
      </c>
      <c r="P147" s="168">
        <f t="shared" si="25"/>
        <v>250.1784</v>
      </c>
      <c r="Q147" s="170"/>
      <c r="R147" s="134"/>
      <c r="S147" s="134"/>
      <c r="T147" s="134"/>
      <c r="U147" s="134"/>
      <c r="V147" s="134"/>
      <c r="W147" s="145"/>
      <c r="X147" s="144"/>
      <c r="Y147" s="144"/>
      <c r="Z147" s="145"/>
      <c r="AA147" s="145"/>
      <c r="AB147" s="145"/>
      <c r="AC147" s="145"/>
      <c r="AD147" s="145"/>
      <c r="AE147" s="145"/>
      <c r="AF147" s="145"/>
      <c r="AG147" s="145"/>
      <c r="AH147" s="145"/>
      <c r="AI147" s="145"/>
      <c r="AJ147" s="145"/>
    </row>
    <row r="148" spans="8:8">
      <c r="A148" s="55" t="s">
        <v>172</v>
      </c>
      <c r="B148" s="47" t="s">
        <v>157</v>
      </c>
      <c r="C148" s="29">
        <v>20.0</v>
      </c>
      <c r="D148" s="49">
        <v>0.18</v>
      </c>
      <c r="E148" s="46">
        <v>2.01</v>
      </c>
      <c r="F148" s="49">
        <v>0.89</v>
      </c>
      <c r="G148" s="49">
        <v>23.0</v>
      </c>
      <c r="H148" s="30">
        <v>0.04</v>
      </c>
      <c r="I148" s="25"/>
      <c r="J148" s="25"/>
      <c r="K148" s="48">
        <v>7.6</v>
      </c>
      <c r="L148" s="22"/>
      <c r="M148" s="22"/>
      <c r="N148" s="29">
        <v>0.48</v>
      </c>
      <c r="O148" s="2">
        <v>4.0</v>
      </c>
      <c r="P148" s="168">
        <f t="shared" si="25"/>
        <v>22.584</v>
      </c>
      <c r="Q148" s="140"/>
      <c r="R148" s="134"/>
      <c r="S148" s="134"/>
      <c r="T148" s="141"/>
      <c r="U148" s="134"/>
      <c r="V148" s="134"/>
      <c r="W148" s="145"/>
      <c r="X148" s="145"/>
      <c r="Y148" s="145"/>
      <c r="Z148" s="144"/>
      <c r="AA148" s="144"/>
      <c r="AB148" s="144"/>
      <c r="AC148" s="144"/>
      <c r="AD148" s="144"/>
      <c r="AE148" s="144"/>
      <c r="AF148" s="144"/>
      <c r="AG148" s="145"/>
      <c r="AH148" s="144"/>
      <c r="AI148" s="144"/>
      <c r="AJ148" s="145"/>
    </row>
    <row r="149" spans="8:8">
      <c r="A149" s="52" t="s">
        <v>163</v>
      </c>
      <c r="B149" s="47" t="s">
        <v>10</v>
      </c>
      <c r="C149" s="56">
        <v>200.0</v>
      </c>
      <c r="D149" s="49">
        <v>0.0</v>
      </c>
      <c r="E149" s="46">
        <v>0.0</v>
      </c>
      <c r="F149" s="49">
        <v>10.0</v>
      </c>
      <c r="G149" s="49">
        <v>42.0</v>
      </c>
      <c r="H149" s="30"/>
      <c r="I149" s="25"/>
      <c r="J149" s="25"/>
      <c r="K149" s="48"/>
      <c r="L149" s="22"/>
      <c r="M149" s="22"/>
      <c r="N149" s="29"/>
      <c r="P149" s="168">
        <f t="shared" si="25"/>
        <v>42.0</v>
      </c>
      <c r="Q149" s="140"/>
      <c r="R149" s="134"/>
      <c r="S149" s="134"/>
      <c r="T149" s="141"/>
      <c r="U149" s="134"/>
      <c r="V149" s="134"/>
      <c r="W149" s="145"/>
      <c r="X149" s="145"/>
      <c r="Y149" s="145"/>
      <c r="Z149" s="144"/>
      <c r="AA149" s="144"/>
      <c r="AB149" s="144"/>
      <c r="AC149" s="144"/>
      <c r="AD149" s="144"/>
      <c r="AE149" s="144"/>
      <c r="AF149" s="144"/>
      <c r="AG149" s="145"/>
      <c r="AH149" s="144"/>
      <c r="AI149" s="144"/>
      <c r="AJ149" s="145"/>
    </row>
    <row r="150" spans="8:8">
      <c r="A150" s="57"/>
      <c r="B150" s="104" t="s">
        <v>11</v>
      </c>
      <c r="C150" s="29">
        <v>50.0</v>
      </c>
      <c r="D150" s="49">
        <f>3.04*1.25</f>
        <v>3.8</v>
      </c>
      <c r="E150" s="46">
        <f>0.32*1.25</f>
        <v>0.4</v>
      </c>
      <c r="F150" s="49">
        <f>19.68*1.25</f>
        <v>24.6</v>
      </c>
      <c r="G150" s="49">
        <f>98.34*1.25</f>
        <v>122.92500000000001</v>
      </c>
      <c r="H150" s="62">
        <v>0.05</v>
      </c>
      <c r="I150" s="63">
        <v>16.0</v>
      </c>
      <c r="J150" s="64"/>
      <c r="K150" s="171">
        <v>25.6</v>
      </c>
      <c r="L150" s="172"/>
      <c r="M150" s="172"/>
      <c r="N150" s="171">
        <v>3.52</v>
      </c>
      <c r="O150" s="2">
        <v>22.0</v>
      </c>
      <c r="P150" s="168">
        <f t="shared" si="25"/>
        <v>122.88</v>
      </c>
      <c r="Q150" s="140"/>
      <c r="R150" s="128"/>
      <c r="S150" s="134"/>
      <c r="T150" s="128"/>
      <c r="U150" s="134"/>
      <c r="V150" s="134"/>
      <c r="W150" s="147"/>
      <c r="X150" s="144"/>
      <c r="Y150" s="144"/>
      <c r="Z150" s="144"/>
      <c r="AA150" s="144"/>
      <c r="AB150" s="144"/>
      <c r="AC150" s="144"/>
      <c r="AD150" s="144"/>
      <c r="AE150" s="144"/>
      <c r="AF150" s="144"/>
      <c r="AG150" s="145"/>
      <c r="AH150" s="144"/>
      <c r="AI150" s="144"/>
      <c r="AJ150" s="147"/>
    </row>
    <row r="151" spans="8:8">
      <c r="A151" s="44"/>
      <c r="B151" s="47"/>
      <c r="C151" s="156">
        <f>SUM(C146:C150)</f>
        <v>550.0</v>
      </c>
      <c r="D151" s="49"/>
      <c r="E151" s="46"/>
      <c r="F151" s="49"/>
      <c r="G151" s="49"/>
      <c r="H151" s="30"/>
      <c r="I151" s="25"/>
      <c r="J151" s="25"/>
      <c r="K151" s="54"/>
      <c r="L151" s="25"/>
      <c r="M151" s="25"/>
      <c r="N151" s="30"/>
      <c r="P151" s="168">
        <f t="shared" si="25"/>
        <v>0.0</v>
      </c>
      <c r="Q151" s="173"/>
      <c r="R151" s="174"/>
      <c r="S151" s="175"/>
      <c r="T151" s="176"/>
      <c r="U151" s="175"/>
      <c r="V151" s="175"/>
      <c r="W151" s="177"/>
      <c r="X151" s="178"/>
      <c r="Y151" s="178"/>
      <c r="Z151" s="179"/>
      <c r="AA151" s="179"/>
      <c r="AB151" s="179"/>
      <c r="AC151" s="179"/>
      <c r="AD151" s="179"/>
      <c r="AE151" s="179"/>
      <c r="AF151" s="179"/>
      <c r="AG151" s="178"/>
      <c r="AH151" s="179"/>
      <c r="AI151" s="179"/>
      <c r="AJ151" s="178"/>
    </row>
    <row r="152" spans="8:8">
      <c r="A152" s="44"/>
      <c r="B152" s="185" t="s">
        <v>67</v>
      </c>
      <c r="C152" s="100"/>
      <c r="D152" s="86">
        <f>D153+D154+D155+D156+D157+D158</f>
        <v>23.099899999999998</v>
      </c>
      <c r="E152" s="86">
        <f t="shared" si="26" ref="E152:O152">E153+E154+E155+E156+E157+E158</f>
        <v>38.02869999999999</v>
      </c>
      <c r="F152" s="86">
        <f t="shared" si="26"/>
        <v>100.4619</v>
      </c>
      <c r="G152" s="86">
        <f>G153+G154+G155+G156+G157+G158</f>
        <v>862.3575</v>
      </c>
      <c r="H152" s="86">
        <f t="shared" si="26"/>
        <v>0.39999999999999997</v>
      </c>
      <c r="I152" s="86">
        <f t="shared" si="26"/>
        <v>53.7</v>
      </c>
      <c r="J152" s="86">
        <f t="shared" si="26"/>
        <v>0.0</v>
      </c>
      <c r="K152" s="86">
        <f t="shared" si="26"/>
        <v>122.89</v>
      </c>
      <c r="L152" s="86">
        <f t="shared" si="26"/>
        <v>143.88</v>
      </c>
      <c r="M152" s="86">
        <f t="shared" si="26"/>
        <v>51.79</v>
      </c>
      <c r="N152" s="86">
        <f t="shared" si="26"/>
        <v>5.48</v>
      </c>
      <c r="O152" s="87">
        <f t="shared" si="26"/>
        <v>83.2</v>
      </c>
      <c r="P152" s="168">
        <f t="shared" si="25"/>
        <v>861.21786</v>
      </c>
      <c r="Q152" s="173"/>
      <c r="R152" s="174"/>
      <c r="S152" s="175"/>
      <c r="T152" s="176"/>
      <c r="U152" s="175"/>
      <c r="V152" s="175"/>
      <c r="W152" s="177"/>
      <c r="X152" s="178"/>
      <c r="Y152" s="178"/>
      <c r="Z152" s="179"/>
      <c r="AA152" s="179"/>
      <c r="AB152" s="179"/>
      <c r="AC152" s="179"/>
      <c r="AD152" s="179"/>
      <c r="AE152" s="179"/>
      <c r="AF152" s="179"/>
      <c r="AG152" s="178"/>
      <c r="AH152" s="179"/>
      <c r="AI152" s="179"/>
      <c r="AJ152" s="178"/>
    </row>
    <row r="153" spans="8:8">
      <c r="A153" s="107" t="s">
        <v>174</v>
      </c>
      <c r="B153" s="88" t="s">
        <v>142</v>
      </c>
      <c r="C153" s="74">
        <v>100.0</v>
      </c>
      <c r="D153" s="108">
        <f>0.74*1.66</f>
        <v>1.2284</v>
      </c>
      <c r="E153" s="108">
        <f>0.06*1.67</f>
        <v>0.1002</v>
      </c>
      <c r="F153" s="108">
        <f>6.92*1.67</f>
        <v>11.5564</v>
      </c>
      <c r="G153" s="108">
        <f>33*1.67</f>
        <v>55.11</v>
      </c>
      <c r="H153" s="54">
        <v>0.04</v>
      </c>
      <c r="I153" s="54">
        <v>15.0</v>
      </c>
      <c r="J153" s="50"/>
      <c r="K153" s="54">
        <v>8.4</v>
      </c>
      <c r="L153" s="54"/>
      <c r="M153" s="54"/>
      <c r="N153" s="54">
        <v>0.54</v>
      </c>
      <c r="O153" s="2">
        <v>10.9</v>
      </c>
      <c r="P153" s="168">
        <f t="shared" si="25"/>
        <v>54.59796</v>
      </c>
      <c r="Q153" s="173"/>
      <c r="R153" s="174"/>
      <c r="S153" s="175"/>
      <c r="T153" s="176"/>
      <c r="U153" s="175"/>
      <c r="V153" s="175"/>
      <c r="W153" s="177"/>
      <c r="X153" s="178"/>
      <c r="Y153" s="178"/>
      <c r="Z153" s="179"/>
      <c r="AA153" s="179"/>
      <c r="AB153" s="179"/>
      <c r="AC153" s="179"/>
      <c r="AD153" s="179"/>
      <c r="AE153" s="179"/>
      <c r="AF153" s="179"/>
      <c r="AG153" s="178"/>
      <c r="AH153" s="179"/>
      <c r="AI153" s="179"/>
      <c r="AJ153" s="178"/>
    </row>
    <row r="154" spans="8:8">
      <c r="A154" s="80" t="s">
        <v>101</v>
      </c>
      <c r="B154" s="45" t="s">
        <v>193</v>
      </c>
      <c r="C154" s="29">
        <v>250.0</v>
      </c>
      <c r="D154" s="46">
        <f>4.91*1.25</f>
        <v>6.1375</v>
      </c>
      <c r="E154" s="46">
        <f>11.01*1.25</f>
        <v>13.7625</v>
      </c>
      <c r="F154" s="46">
        <f>15.43*1.25</f>
        <v>19.2875</v>
      </c>
      <c r="G154" s="46">
        <f>184.83*1.25</f>
        <v>231.03750000000002</v>
      </c>
      <c r="H154" s="46" t="s">
        <v>45</v>
      </c>
      <c r="I154" s="46" t="s">
        <v>102</v>
      </c>
      <c r="J154" s="50"/>
      <c r="K154" s="46" t="s">
        <v>103</v>
      </c>
      <c r="L154" s="46" t="s">
        <v>104</v>
      </c>
      <c r="M154" s="46" t="s">
        <v>105</v>
      </c>
      <c r="N154" s="46" t="s">
        <v>106</v>
      </c>
      <c r="O154" s="2">
        <v>9.6</v>
      </c>
      <c r="P154" s="168">
        <f t="shared" si="25"/>
        <v>230.64749999999998</v>
      </c>
      <c r="Q154" s="173"/>
      <c r="R154" s="174"/>
      <c r="S154" s="175"/>
      <c r="T154" s="176"/>
      <c r="U154" s="175"/>
      <c r="V154" s="175"/>
      <c r="W154" s="177"/>
      <c r="X154" s="178"/>
      <c r="Y154" s="178"/>
      <c r="Z154" s="179"/>
      <c r="AA154" s="179"/>
      <c r="AB154" s="179"/>
      <c r="AC154" s="179"/>
      <c r="AD154" s="179"/>
      <c r="AE154" s="179"/>
      <c r="AF154" s="179"/>
      <c r="AG154" s="178"/>
      <c r="AH154" s="179"/>
      <c r="AI154" s="179"/>
      <c r="AJ154" s="178"/>
    </row>
    <row r="155" spans="8:8">
      <c r="A155" s="44">
        <v>298.0</v>
      </c>
      <c r="B155" s="45" t="s">
        <v>144</v>
      </c>
      <c r="C155" s="29">
        <v>105.0</v>
      </c>
      <c r="D155" s="46">
        <v>6.14</v>
      </c>
      <c r="E155" s="46">
        <v>11.91</v>
      </c>
      <c r="F155" s="46">
        <v>10.92</v>
      </c>
      <c r="G155" s="46">
        <v>178.84</v>
      </c>
      <c r="H155" s="46" t="s">
        <v>84</v>
      </c>
      <c r="I155" s="46" t="s">
        <v>112</v>
      </c>
      <c r="J155" s="50"/>
      <c r="K155" s="46" t="s">
        <v>113</v>
      </c>
      <c r="L155" s="46" t="s">
        <v>114</v>
      </c>
      <c r="M155" s="46" t="s">
        <v>115</v>
      </c>
      <c r="N155" s="46" t="s">
        <v>116</v>
      </c>
      <c r="O155" s="2">
        <v>35.7</v>
      </c>
      <c r="P155" s="168">
        <f t="shared" si="25"/>
        <v>178.84199999999998</v>
      </c>
      <c r="Q155" s="173"/>
      <c r="R155" s="174"/>
      <c r="S155" s="175"/>
      <c r="T155" s="176"/>
      <c r="U155" s="175"/>
      <c r="V155" s="175"/>
      <c r="W155" s="177"/>
      <c r="X155" s="178"/>
      <c r="Y155" s="178"/>
      <c r="Z155" s="179"/>
      <c r="AA155" s="179"/>
      <c r="AB155" s="179"/>
      <c r="AC155" s="179"/>
      <c r="AD155" s="179"/>
      <c r="AE155" s="179"/>
      <c r="AF155" s="179"/>
      <c r="AG155" s="178"/>
      <c r="AH155" s="179"/>
      <c r="AI155" s="179"/>
      <c r="AJ155" s="178"/>
    </row>
    <row r="156" spans="8:8">
      <c r="A156" s="102" t="s">
        <v>132</v>
      </c>
      <c r="B156" s="47" t="s">
        <v>133</v>
      </c>
      <c r="C156" s="48">
        <v>180.0</v>
      </c>
      <c r="D156" s="49">
        <f>5.77*1.2</f>
        <v>6.9239999999999995</v>
      </c>
      <c r="E156" s="49">
        <f>10.08*1.2</f>
        <v>12.096</v>
      </c>
      <c r="F156" s="49">
        <f>30.69*1.2</f>
        <v>36.828</v>
      </c>
      <c r="G156" s="49">
        <f>244*1.2</f>
        <v>292.8</v>
      </c>
      <c r="H156" s="48">
        <v>0.08</v>
      </c>
      <c r="I156" s="48">
        <v>17.8</v>
      </c>
      <c r="J156" s="74"/>
      <c r="K156" s="48">
        <v>53.08</v>
      </c>
      <c r="L156" s="48">
        <v>64.28</v>
      </c>
      <c r="M156" s="48">
        <v>23.23</v>
      </c>
      <c r="N156" s="48">
        <v>0.86</v>
      </c>
      <c r="O156" s="2">
        <v>17.0</v>
      </c>
      <c r="P156" s="168">
        <f t="shared" si="25"/>
        <v>292.62239999999997</v>
      </c>
      <c r="Q156" s="173"/>
      <c r="R156" s="174"/>
      <c r="S156" s="175"/>
      <c r="T156" s="176"/>
      <c r="U156" s="175"/>
      <c r="V156" s="175"/>
      <c r="W156" s="177"/>
      <c r="X156" s="178"/>
      <c r="Y156" s="178"/>
      <c r="Z156" s="179"/>
      <c r="AA156" s="179"/>
      <c r="AB156" s="179"/>
      <c r="AC156" s="179"/>
      <c r="AD156" s="179"/>
      <c r="AE156" s="179"/>
      <c r="AF156" s="179"/>
      <c r="AG156" s="178"/>
      <c r="AH156" s="179"/>
      <c r="AI156" s="179"/>
      <c r="AJ156" s="178"/>
    </row>
    <row r="157" spans="8:8" ht="17.25" customHeight="1">
      <c r="A157" s="116" t="s">
        <v>42</v>
      </c>
      <c r="B157" s="43" t="s">
        <v>201</v>
      </c>
      <c r="C157" s="48">
        <v>200.0</v>
      </c>
      <c r="D157" s="49">
        <v>1.15</v>
      </c>
      <c r="E157" s="117"/>
      <c r="F157" s="49">
        <v>12.03</v>
      </c>
      <c r="G157" s="49">
        <v>55.4</v>
      </c>
      <c r="H157" s="46" t="s">
        <v>91</v>
      </c>
      <c r="I157" s="49" t="s">
        <v>92</v>
      </c>
      <c r="J157" s="50"/>
      <c r="K157" s="49" t="s">
        <v>93</v>
      </c>
      <c r="L157" s="50"/>
      <c r="M157" s="50"/>
      <c r="N157" s="46" t="s">
        <v>94</v>
      </c>
      <c r="O157" s="2">
        <v>7.0</v>
      </c>
      <c r="P157" s="168">
        <f t="shared" si="25"/>
        <v>55.356</v>
      </c>
      <c r="Q157" s="173"/>
      <c r="R157" s="174"/>
      <c r="S157" s="175"/>
      <c r="T157" s="176"/>
      <c r="U157" s="175"/>
      <c r="V157" s="175"/>
      <c r="W157" s="177"/>
      <c r="X157" s="178"/>
      <c r="Y157" s="178"/>
      <c r="Z157" s="179"/>
      <c r="AA157" s="179"/>
      <c r="AB157" s="179"/>
      <c r="AC157" s="179"/>
      <c r="AD157" s="179"/>
      <c r="AE157" s="179"/>
      <c r="AF157" s="179"/>
      <c r="AG157" s="178"/>
      <c r="AH157" s="179"/>
      <c r="AI157" s="179"/>
      <c r="AJ157" s="178"/>
    </row>
    <row r="158" spans="8:8">
      <c r="A158" s="55"/>
      <c r="B158" s="104" t="s">
        <v>11</v>
      </c>
      <c r="C158" s="29">
        <v>20.0</v>
      </c>
      <c r="D158" s="49">
        <v>1.52</v>
      </c>
      <c r="E158" s="46">
        <v>0.16</v>
      </c>
      <c r="F158" s="49">
        <v>9.84</v>
      </c>
      <c r="G158" s="49">
        <v>49.17</v>
      </c>
      <c r="H158" s="46">
        <v>0.04</v>
      </c>
      <c r="I158" s="50"/>
      <c r="J158" s="50"/>
      <c r="K158" s="49">
        <v>7.25</v>
      </c>
      <c r="L158" s="50">
        <v>32.5</v>
      </c>
      <c r="M158" s="50">
        <v>10.5</v>
      </c>
      <c r="N158" s="46">
        <v>0.9</v>
      </c>
      <c r="O158" s="2">
        <v>3.0</v>
      </c>
      <c r="P158" s="168">
        <f t="shared" si="25"/>
        <v>49.152</v>
      </c>
      <c r="Q158" s="173"/>
      <c r="R158" s="174"/>
      <c r="S158" s="175"/>
      <c r="T158" s="176"/>
      <c r="U158" s="175"/>
      <c r="V158" s="175"/>
      <c r="W158" s="177"/>
      <c r="X158" s="178"/>
      <c r="Y158" s="178"/>
      <c r="Z158" s="179"/>
      <c r="AA158" s="179"/>
      <c r="AB158" s="179"/>
      <c r="AC158" s="179"/>
      <c r="AD158" s="179"/>
      <c r="AE158" s="179"/>
      <c r="AF158" s="179"/>
      <c r="AG158" s="178"/>
      <c r="AH158" s="179"/>
      <c r="AI158" s="179"/>
      <c r="AJ158" s="178"/>
    </row>
    <row r="159" spans="8:8">
      <c r="A159" s="44"/>
      <c r="B159" s="180"/>
      <c r="C159" s="181">
        <f>SUM(C153:C158)</f>
        <v>855.0</v>
      </c>
      <c r="D159" s="180"/>
      <c r="E159" s="180"/>
      <c r="F159" s="180"/>
      <c r="G159" s="180"/>
      <c r="H159" s="180"/>
      <c r="I159" s="180"/>
      <c r="J159" s="180"/>
      <c r="K159" s="180"/>
      <c r="L159" s="180"/>
      <c r="M159" s="180"/>
      <c r="N159" s="180"/>
      <c r="P159" s="168">
        <f t="shared" si="25"/>
        <v>0.0</v>
      </c>
      <c r="Q159" s="173"/>
      <c r="R159" s="174"/>
      <c r="S159" s="175"/>
      <c r="T159" s="176"/>
      <c r="U159" s="175"/>
      <c r="V159" s="175"/>
      <c r="W159" s="177"/>
      <c r="X159" s="178"/>
      <c r="Y159" s="178"/>
      <c r="Z159" s="179"/>
      <c r="AA159" s="179"/>
      <c r="AB159" s="179"/>
      <c r="AC159" s="179"/>
      <c r="AD159" s="179"/>
      <c r="AE159" s="179"/>
      <c r="AF159" s="179"/>
      <c r="AG159" s="178"/>
      <c r="AH159" s="179"/>
      <c r="AI159" s="179"/>
      <c r="AJ159" s="178"/>
    </row>
    <row r="160" spans="8:8">
      <c r="A160" s="44"/>
      <c r="B160" s="47"/>
      <c r="C160" s="29"/>
      <c r="D160" s="48"/>
      <c r="E160" s="29"/>
      <c r="F160" s="97"/>
      <c r="G160" s="48"/>
      <c r="H160" s="30"/>
      <c r="I160" s="200"/>
      <c r="J160" s="25"/>
      <c r="K160" s="54"/>
      <c r="L160" s="25"/>
      <c r="M160" s="25"/>
      <c r="N160" s="30"/>
      <c r="P160" s="168">
        <f t="shared" si="25"/>
        <v>0.0</v>
      </c>
    </row>
    <row r="161" spans="8:8">
      <c r="A161" s="44"/>
      <c r="B161" s="47"/>
      <c r="C161" s="29"/>
      <c r="D161" s="48"/>
      <c r="E161" s="29"/>
      <c r="F161" s="48"/>
      <c r="G161" s="48"/>
      <c r="H161" s="30"/>
      <c r="I161" s="25"/>
      <c r="J161" s="25"/>
      <c r="K161" s="54"/>
      <c r="L161" s="25"/>
      <c r="M161" s="25"/>
      <c r="N161" s="30"/>
    </row>
  </sheetData>
  <mergeCells count="15">
    <mergeCell ref="K3:N3"/>
    <mergeCell ref="P144:R144"/>
    <mergeCell ref="B144:C144"/>
    <mergeCell ref="H3:I3"/>
    <mergeCell ref="A98:C98"/>
    <mergeCell ref="C1:J2"/>
    <mergeCell ref="B84:C84"/>
    <mergeCell ref="D3:F3"/>
    <mergeCell ref="B55:C55"/>
    <mergeCell ref="B24:C24"/>
    <mergeCell ref="B128:C128"/>
    <mergeCell ref="G3:G4"/>
    <mergeCell ref="B6:C6"/>
    <mergeCell ref="B69:C69"/>
    <mergeCell ref="B39:C39"/>
  </mergeCells>
  <pageMargins left="0.75" right="0.75" top="1.0" bottom="1.0" header="0.5" footer="0.5"/>
  <pageSetup paperSize="9" fitToHeight="0"/>
  <headerFooter alignWithMargins="0"/>
</worksheet>
</file>

<file path=xl/worksheets/sheet3.xml><?xml version="1.0" encoding="utf-8"?>
<worksheet xmlns:r="http://schemas.openxmlformats.org/officeDocument/2006/relationships" xmlns="http://schemas.openxmlformats.org/spreadsheetml/2006/main">
  <dimension ref="A1:J80"/>
  <sheetViews>
    <sheetView workbookViewId="0">
      <selection activeCell="I9" sqref="I9"/>
    </sheetView>
  </sheetViews>
  <sheetFormatPr defaultRowHeight="16.25" defaultColWidth="10"/>
  <cols>
    <col min="1" max="1" customWidth="1" width="24.066406" style="0"/>
    <col min="2" max="2" customWidth="1" width="24.785156" style="0"/>
    <col min="3" max="3" customWidth="1" width="23.214844" style="0"/>
    <col min="4" max="4" customWidth="1" width="13.714844" style="0"/>
    <col min="5" max="5" customWidth="1" width="13.496094" style="0"/>
    <col min="6" max="6" customWidth="1" width="11.785156" style="0"/>
    <col min="7" max="7" customWidth="1" width="16.644531" style="0"/>
  </cols>
  <sheetData>
    <row r="1" spans="8:8" ht="16.9">
      <c r="A1" s="201" t="s">
        <v>305</v>
      </c>
      <c r="B1" s="201"/>
      <c r="C1" s="201"/>
      <c r="D1" s="201"/>
      <c r="E1" s="201"/>
      <c r="F1" s="201"/>
      <c r="G1" s="201"/>
    </row>
    <row r="2" spans="8:8">
      <c r="A2" s="202" t="s">
        <v>204</v>
      </c>
      <c r="B2" s="202" t="s">
        <v>205</v>
      </c>
      <c r="C2" s="202" t="s">
        <v>206</v>
      </c>
      <c r="D2" s="202" t="s">
        <v>207</v>
      </c>
      <c r="E2" s="202"/>
      <c r="F2" s="202"/>
      <c r="G2" s="202" t="s">
        <v>23</v>
      </c>
    </row>
    <row r="3" spans="8:8">
      <c r="A3" s="202"/>
      <c r="B3" s="202"/>
      <c r="C3" s="202"/>
      <c r="D3" s="203" t="s">
        <v>17</v>
      </c>
      <c r="E3" s="203" t="s">
        <v>19</v>
      </c>
      <c r="F3" s="203" t="s">
        <v>21</v>
      </c>
      <c r="G3" s="202"/>
    </row>
    <row r="4" spans="8:8">
      <c r="A4" s="203" t="s">
        <v>2</v>
      </c>
      <c r="B4" s="203" t="s">
        <v>8</v>
      </c>
      <c r="C4" s="203" t="s">
        <v>15</v>
      </c>
      <c r="D4" s="203" t="s">
        <v>18</v>
      </c>
      <c r="E4" s="203" t="s">
        <v>20</v>
      </c>
      <c r="F4" s="203" t="s">
        <v>22</v>
      </c>
      <c r="G4" s="203" t="s">
        <v>24</v>
      </c>
    </row>
    <row r="5" spans="8:8">
      <c r="A5" s="204" t="s">
        <v>306</v>
      </c>
      <c r="B5" s="204"/>
      <c r="C5" s="204"/>
      <c r="D5" s="205">
        <f>D6+D15</f>
        <v>55.309999999999995</v>
      </c>
      <c r="E5" s="205">
        <f>E6+E15</f>
        <v>73.03999999999999</v>
      </c>
      <c r="F5" s="205">
        <f>F6+F15</f>
        <v>161.19</v>
      </c>
      <c r="G5" s="205">
        <f>G6+G15</f>
        <v>1535.6399999999999</v>
      </c>
    </row>
    <row r="6" spans="8:8">
      <c r="A6" s="203"/>
      <c r="B6" s="204" t="s">
        <v>66</v>
      </c>
      <c r="C6" s="204"/>
      <c r="D6" s="205">
        <f>D7+D8+D9+D10+D13</f>
        <v>16.65</v>
      </c>
      <c r="E6" s="205">
        <f>E7+E8+E9+E10+E13</f>
        <v>34.18</v>
      </c>
      <c r="F6" s="205">
        <f>F7+F8+F9+F10+F13</f>
        <v>84.53</v>
      </c>
      <c r="G6" s="205">
        <f>G7+G8+G9+G10+G13</f>
        <v>716.21</v>
      </c>
    </row>
    <row r="7" spans="8:8" ht="24.35">
      <c r="A7" s="206" t="s">
        <v>162</v>
      </c>
      <c r="B7" s="207" t="s">
        <v>35</v>
      </c>
      <c r="C7" s="206">
        <v>15.0</v>
      </c>
      <c r="D7" s="208">
        <v>3.9</v>
      </c>
      <c r="E7" s="208">
        <v>3.98</v>
      </c>
      <c r="F7" s="208">
        <v>0.53</v>
      </c>
      <c r="G7" s="208">
        <v>54.36</v>
      </c>
    </row>
    <row r="8" spans="8:8" ht="73.1">
      <c r="A8" s="206" t="s">
        <v>161</v>
      </c>
      <c r="B8" s="207" t="s">
        <v>183</v>
      </c>
      <c r="C8" s="206" t="s">
        <v>281</v>
      </c>
      <c r="D8" s="208">
        <v>8.75</v>
      </c>
      <c r="E8" s="208">
        <v>20.2</v>
      </c>
      <c r="F8" s="208">
        <v>34.0</v>
      </c>
      <c r="G8" s="208">
        <v>352.85</v>
      </c>
    </row>
    <row r="9" spans="8:8" ht="24.35">
      <c r="A9" s="209" t="s">
        <v>163</v>
      </c>
      <c r="B9" s="210" t="s">
        <v>10</v>
      </c>
      <c r="C9" s="209">
        <v>200.0</v>
      </c>
      <c r="D9" s="211">
        <v>0.0</v>
      </c>
      <c r="E9" s="211">
        <v>0.0</v>
      </c>
      <c r="F9" s="211">
        <v>10.0</v>
      </c>
      <c r="G9" s="211">
        <v>42.0</v>
      </c>
    </row>
    <row r="10" spans="8:8" ht="24.35">
      <c r="A10" s="206"/>
      <c r="B10" s="207" t="s">
        <v>255</v>
      </c>
      <c r="C10" s="206">
        <v>40.0</v>
      </c>
      <c r="D10" s="208">
        <v>3.0</v>
      </c>
      <c r="E10" s="208">
        <v>1.0</v>
      </c>
      <c r="F10" s="208">
        <v>21.0</v>
      </c>
      <c r="G10" s="208">
        <v>105.0</v>
      </c>
    </row>
    <row r="11" spans="8:8" ht="48.7">
      <c r="A11" s="206"/>
      <c r="B11" s="207" t="s">
        <v>256</v>
      </c>
      <c r="C11" s="206">
        <v>30.0</v>
      </c>
      <c r="D11" s="208">
        <v>1.0</v>
      </c>
      <c r="E11" s="208">
        <v>9.0</v>
      </c>
      <c r="F11" s="208">
        <v>19.0</v>
      </c>
      <c r="G11" s="208">
        <v>162.0</v>
      </c>
    </row>
    <row r="12" spans="8:8">
      <c r="A12" s="212"/>
      <c r="B12" s="213"/>
      <c r="C12" s="212"/>
      <c r="D12" s="214"/>
      <c r="E12" s="214"/>
      <c r="F12" s="214"/>
      <c r="G12" s="214"/>
    </row>
    <row r="13" spans="8:8" ht="48.7">
      <c r="A13" s="206"/>
      <c r="B13" s="207" t="s">
        <v>256</v>
      </c>
      <c r="C13" s="206">
        <v>30.0</v>
      </c>
      <c r="D13" s="208">
        <v>1.0</v>
      </c>
      <c r="E13" s="208">
        <v>9.0</v>
      </c>
      <c r="F13" s="208">
        <v>19.0</v>
      </c>
      <c r="G13" s="208">
        <v>162.0</v>
      </c>
    </row>
    <row r="14" spans="8:8">
      <c r="A14" s="215" t="s">
        <v>217</v>
      </c>
      <c r="B14" s="215"/>
      <c r="C14" s="216">
        <v>550.0</v>
      </c>
      <c r="D14" s="214"/>
      <c r="E14" s="214"/>
      <c r="F14" s="214"/>
      <c r="G14" s="214"/>
    </row>
    <row r="15" spans="8:8">
      <c r="A15" s="212"/>
      <c r="B15" s="217" t="s">
        <v>67</v>
      </c>
      <c r="C15" s="217"/>
      <c r="D15" s="218">
        <f>D16+D17+D18+D19+D20</f>
        <v>38.66</v>
      </c>
      <c r="E15" s="218">
        <f>E16+E17+E18+E19+E20</f>
        <v>38.86</v>
      </c>
      <c r="F15" s="218">
        <f>F16+F17+F18+F19+F20</f>
        <v>76.66</v>
      </c>
      <c r="G15" s="218">
        <f>G16+G17+G18+G19+G20</f>
        <v>819.4300000000001</v>
      </c>
    </row>
    <row r="16" spans="8:8" ht="48.7">
      <c r="A16" s="219" t="s">
        <v>228</v>
      </c>
      <c r="B16" s="210" t="s">
        <v>229</v>
      </c>
      <c r="C16" s="219">
        <v>100.0</v>
      </c>
      <c r="D16" s="220">
        <v>0.8</v>
      </c>
      <c r="E16" s="211">
        <v>0.0</v>
      </c>
      <c r="F16" s="211">
        <v>1.7</v>
      </c>
      <c r="G16" s="211">
        <v>10.0</v>
      </c>
    </row>
    <row r="17" spans="8:8" ht="36.55">
      <c r="A17" s="219" t="s">
        <v>165</v>
      </c>
      <c r="B17" s="210" t="s">
        <v>199</v>
      </c>
      <c r="C17" s="219">
        <v>250.0</v>
      </c>
      <c r="D17" s="211">
        <v>7.11</v>
      </c>
      <c r="E17" s="211">
        <v>16.26</v>
      </c>
      <c r="F17" s="211">
        <v>17.93</v>
      </c>
      <c r="G17" s="211">
        <v>246.5</v>
      </c>
    </row>
    <row r="18" spans="8:8" ht="48.7">
      <c r="A18" s="212" t="s">
        <v>275</v>
      </c>
      <c r="B18" s="210" t="s">
        <v>273</v>
      </c>
      <c r="C18" s="219">
        <v>200.0</v>
      </c>
      <c r="D18" s="211">
        <v>25.8</v>
      </c>
      <c r="E18" s="211">
        <v>22.2</v>
      </c>
      <c r="F18" s="211">
        <v>20.4</v>
      </c>
      <c r="G18" s="211">
        <v>384.6</v>
      </c>
    </row>
    <row r="19" spans="8:8" ht="60.9">
      <c r="A19" s="219" t="s">
        <v>42</v>
      </c>
      <c r="B19" s="210" t="s">
        <v>235</v>
      </c>
      <c r="C19" s="219">
        <v>200.0</v>
      </c>
      <c r="D19" s="211">
        <v>1.15</v>
      </c>
      <c r="E19" s="211"/>
      <c r="F19" s="211">
        <v>12.03</v>
      </c>
      <c r="G19" s="211">
        <v>55.4</v>
      </c>
    </row>
    <row r="20" spans="8:8" ht="36.55">
      <c r="A20" s="219"/>
      <c r="B20" s="210" t="s">
        <v>11</v>
      </c>
      <c r="C20" s="219">
        <v>50.0</v>
      </c>
      <c r="D20" s="211">
        <v>3.8</v>
      </c>
      <c r="E20" s="211">
        <v>0.4</v>
      </c>
      <c r="F20" s="211">
        <v>24.6</v>
      </c>
      <c r="G20" s="211">
        <v>122.93</v>
      </c>
    </row>
    <row r="21" spans="8:8">
      <c r="A21" s="215" t="s">
        <v>217</v>
      </c>
      <c r="B21" s="215"/>
      <c r="C21" s="216">
        <v>800.0</v>
      </c>
      <c r="D21" s="214"/>
      <c r="E21" s="214"/>
      <c r="F21" s="214"/>
      <c r="G21" s="214"/>
    </row>
    <row r="22" spans="8:8">
      <c r="A22" s="204" t="s">
        <v>296</v>
      </c>
      <c r="B22" s="204"/>
      <c r="C22" s="204"/>
      <c r="D22" s="205">
        <f>D23+D29</f>
        <v>44.480000000000004</v>
      </c>
      <c r="E22" s="205">
        <f>E23+E29</f>
        <v>35.09</v>
      </c>
      <c r="F22" s="205">
        <f>F23+F29</f>
        <v>265.88</v>
      </c>
      <c r="G22" s="205">
        <f>G23+G29</f>
        <v>1573.4299999999998</v>
      </c>
    </row>
    <row r="23" spans="8:8">
      <c r="A23" s="203"/>
      <c r="B23" s="204" t="s">
        <v>66</v>
      </c>
      <c r="C23" s="204"/>
      <c r="D23" s="205">
        <f>D24+D25+D26+D27</f>
        <v>18.44</v>
      </c>
      <c r="E23" s="205">
        <f>E24+E25+E26+E27</f>
        <v>9.5</v>
      </c>
      <c r="F23" s="205">
        <f>F24+F25+F26+F27</f>
        <v>143.11</v>
      </c>
      <c r="G23" s="205">
        <f>G24+G25+G26+G27</f>
        <v>742.12</v>
      </c>
    </row>
    <row r="24" spans="8:8" ht="73.1">
      <c r="A24" s="219" t="s">
        <v>161</v>
      </c>
      <c r="B24" s="210" t="s">
        <v>286</v>
      </c>
      <c r="C24" s="219" t="s">
        <v>251</v>
      </c>
      <c r="D24" s="211">
        <v>12.5</v>
      </c>
      <c r="E24" s="211">
        <v>7.5</v>
      </c>
      <c r="F24" s="211">
        <v>47.5</v>
      </c>
      <c r="G24" s="211">
        <v>307.5</v>
      </c>
    </row>
    <row r="25" spans="8:8" ht="48.7">
      <c r="A25" s="212"/>
      <c r="B25" s="207" t="s">
        <v>269</v>
      </c>
      <c r="C25" s="219">
        <v>60.0</v>
      </c>
      <c r="D25" s="211">
        <v>2.88</v>
      </c>
      <c r="E25" s="211">
        <v>1.68</v>
      </c>
      <c r="F25" s="211">
        <v>46.62</v>
      </c>
      <c r="G25" s="211">
        <v>213.12</v>
      </c>
    </row>
    <row r="26" spans="8:8" ht="73.1">
      <c r="A26" s="212" t="s">
        <v>40</v>
      </c>
      <c r="B26" s="210" t="s">
        <v>238</v>
      </c>
      <c r="C26" s="219">
        <v>200.0</v>
      </c>
      <c r="D26" s="211">
        <v>0.02</v>
      </c>
      <c r="E26" s="211"/>
      <c r="F26" s="211">
        <v>29.31</v>
      </c>
      <c r="G26" s="211">
        <v>123.16</v>
      </c>
    </row>
    <row r="27" spans="8:8" ht="36.55">
      <c r="A27" s="219"/>
      <c r="B27" s="210" t="s">
        <v>11</v>
      </c>
      <c r="C27" s="219">
        <v>40.0</v>
      </c>
      <c r="D27" s="211">
        <v>3.04</v>
      </c>
      <c r="E27" s="211">
        <v>0.32</v>
      </c>
      <c r="F27" s="211">
        <v>19.68</v>
      </c>
      <c r="G27" s="211">
        <v>98.34</v>
      </c>
    </row>
    <row r="28" spans="8:8">
      <c r="A28" s="221" t="s">
        <v>217</v>
      </c>
      <c r="B28" s="222"/>
      <c r="C28" s="203">
        <v>555.0</v>
      </c>
      <c r="D28" s="211"/>
      <c r="E28" s="211"/>
      <c r="F28" s="211"/>
      <c r="G28" s="211"/>
    </row>
    <row r="29" spans="8:8">
      <c r="A29" s="219"/>
      <c r="B29" s="217" t="s">
        <v>67</v>
      </c>
      <c r="C29" s="217"/>
      <c r="D29" s="205">
        <f>D30+D31+D32+D33+D34</f>
        <v>26.04</v>
      </c>
      <c r="E29" s="205">
        <f>E30+E31+E32+E33+E34</f>
        <v>25.59</v>
      </c>
      <c r="F29" s="205">
        <f>F30+F31+F32+F33+F34</f>
        <v>122.77000000000001</v>
      </c>
      <c r="G29" s="205">
        <f>G30+G31+G32+G33+G34</f>
        <v>831.31</v>
      </c>
    </row>
    <row r="30" spans="8:8" ht="24.35">
      <c r="A30" s="219" t="s">
        <v>68</v>
      </c>
      <c r="B30" s="210" t="s">
        <v>69</v>
      </c>
      <c r="C30" s="219">
        <v>100.0</v>
      </c>
      <c r="D30" s="211">
        <v>3.07</v>
      </c>
      <c r="E30" s="211">
        <v>8.43</v>
      </c>
      <c r="F30" s="211">
        <v>13.05</v>
      </c>
      <c r="G30" s="211">
        <v>140.37</v>
      </c>
    </row>
    <row r="31" spans="8:8" ht="36.55">
      <c r="A31" s="219" t="s">
        <v>245</v>
      </c>
      <c r="B31" s="210" t="s">
        <v>244</v>
      </c>
      <c r="C31" s="219">
        <v>250.0</v>
      </c>
      <c r="D31" s="211">
        <v>3.29</v>
      </c>
      <c r="E31" s="211">
        <v>6.88</v>
      </c>
      <c r="F31" s="211">
        <v>17.93</v>
      </c>
      <c r="G31" s="211">
        <v>146.8</v>
      </c>
    </row>
    <row r="32" spans="8:8" ht="24.35">
      <c r="A32" s="212" t="s">
        <v>257</v>
      </c>
      <c r="B32" s="210" t="s">
        <v>258</v>
      </c>
      <c r="C32" s="209" t="s">
        <v>232</v>
      </c>
      <c r="D32" s="211">
        <v>13.96</v>
      </c>
      <c r="E32" s="211">
        <v>9.77</v>
      </c>
      <c r="F32" s="211">
        <v>37.34</v>
      </c>
      <c r="G32" s="211">
        <v>293.12</v>
      </c>
    </row>
    <row r="33" spans="8:8" ht="36.55">
      <c r="A33" s="212" t="s">
        <v>225</v>
      </c>
      <c r="B33" s="213" t="s">
        <v>230</v>
      </c>
      <c r="C33" s="219">
        <v>200.0</v>
      </c>
      <c r="D33" s="211">
        <v>1.92</v>
      </c>
      <c r="E33" s="211">
        <v>0.11</v>
      </c>
      <c r="F33" s="211">
        <v>29.85</v>
      </c>
      <c r="G33" s="211">
        <v>128.09</v>
      </c>
    </row>
    <row r="34" spans="8:8" ht="36.55">
      <c r="A34" s="219"/>
      <c r="B34" s="210" t="s">
        <v>11</v>
      </c>
      <c r="C34" s="219">
        <v>50.0</v>
      </c>
      <c r="D34" s="211">
        <v>3.8</v>
      </c>
      <c r="E34" s="211">
        <v>0.4</v>
      </c>
      <c r="F34" s="211">
        <v>24.6</v>
      </c>
      <c r="G34" s="211">
        <v>122.93</v>
      </c>
    </row>
    <row r="35" spans="8:8">
      <c r="A35" s="215" t="s">
        <v>217</v>
      </c>
      <c r="B35" s="215"/>
      <c r="C35" s="203">
        <v>800.0</v>
      </c>
      <c r="D35" s="211"/>
      <c r="E35" s="211"/>
      <c r="F35" s="211"/>
      <c r="G35" s="211"/>
    </row>
    <row r="36" spans="8:8">
      <c r="A36" s="204" t="s">
        <v>297</v>
      </c>
      <c r="B36" s="204"/>
      <c r="C36" s="204"/>
      <c r="D36" s="205">
        <f>D37+D43</f>
        <v>74.67</v>
      </c>
      <c r="E36" s="205">
        <f>E37+E43</f>
        <v>61.92</v>
      </c>
      <c r="F36" s="205">
        <f>F37+F43</f>
        <v>188.6</v>
      </c>
      <c r="G36" s="205">
        <f>G37+G43</f>
        <v>1648.3500000000001</v>
      </c>
    </row>
    <row r="37" spans="8:8">
      <c r="A37" s="203"/>
      <c r="B37" s="204" t="s">
        <v>66</v>
      </c>
      <c r="C37" s="204"/>
      <c r="D37" s="205">
        <f>D38+D39+D40+D41</f>
        <v>27.25</v>
      </c>
      <c r="E37" s="205">
        <f>E38+E39+E40+E41</f>
        <v>29.36</v>
      </c>
      <c r="F37" s="205">
        <f>F38+F39+F40+F41</f>
        <v>56.75</v>
      </c>
      <c r="G37" s="205">
        <f>G38+G39+G40+G41</f>
        <v>612.94</v>
      </c>
    </row>
    <row r="38" spans="8:8">
      <c r="A38" s="212"/>
      <c r="B38" s="210" t="s">
        <v>259</v>
      </c>
      <c r="C38" s="219" t="s">
        <v>287</v>
      </c>
      <c r="D38" s="211">
        <v>0.4</v>
      </c>
      <c r="E38" s="211">
        <v>0.4</v>
      </c>
      <c r="F38" s="211">
        <v>9.8</v>
      </c>
      <c r="G38" s="211">
        <v>47.0</v>
      </c>
    </row>
    <row r="39" spans="8:8" ht="48.7">
      <c r="A39" s="219" t="s">
        <v>226</v>
      </c>
      <c r="B39" s="210" t="s">
        <v>227</v>
      </c>
      <c r="C39" s="219" t="s">
        <v>250</v>
      </c>
      <c r="D39" s="211">
        <v>21.06</v>
      </c>
      <c r="E39" s="211">
        <v>26.86</v>
      </c>
      <c r="F39" s="211">
        <v>3.75</v>
      </c>
      <c r="G39" s="211">
        <v>340.98</v>
      </c>
    </row>
    <row r="40" spans="8:8" ht="36.55">
      <c r="A40" s="206" t="s">
        <v>164</v>
      </c>
      <c r="B40" s="207" t="s">
        <v>51</v>
      </c>
      <c r="C40" s="206">
        <v>200.0</v>
      </c>
      <c r="D40" s="208">
        <v>1.99</v>
      </c>
      <c r="E40" s="208">
        <v>1.7</v>
      </c>
      <c r="F40" s="208">
        <v>18.6</v>
      </c>
      <c r="G40" s="208">
        <v>102.03</v>
      </c>
    </row>
    <row r="41" spans="8:8" ht="36.55">
      <c r="A41" s="219"/>
      <c r="B41" s="210" t="s">
        <v>11</v>
      </c>
      <c r="C41" s="219">
        <v>50.0</v>
      </c>
      <c r="D41" s="211">
        <v>3.8</v>
      </c>
      <c r="E41" s="211">
        <v>0.4</v>
      </c>
      <c r="F41" s="211">
        <v>24.6</v>
      </c>
      <c r="G41" s="211">
        <v>122.93</v>
      </c>
    </row>
    <row r="42" spans="8:8">
      <c r="A42" s="221" t="s">
        <v>217</v>
      </c>
      <c r="B42" s="222"/>
      <c r="C42" s="203">
        <v>580.0</v>
      </c>
      <c r="D42" s="211"/>
      <c r="E42" s="211"/>
      <c r="F42" s="211"/>
      <c r="G42" s="211"/>
    </row>
    <row r="43" spans="8:8">
      <c r="A43" s="219"/>
      <c r="B43" s="217" t="s">
        <v>67</v>
      </c>
      <c r="C43" s="217"/>
      <c r="D43" s="205">
        <f>D44+D45+D46+D47+D48+D49</f>
        <v>47.42</v>
      </c>
      <c r="E43" s="205">
        <f>E44+E45+E46+E47+E48+E49</f>
        <v>32.559999999999995</v>
      </c>
      <c r="F43" s="205">
        <f>F44+F45+F46+F47+F48+F49</f>
        <v>131.85</v>
      </c>
      <c r="G43" s="205">
        <f>G44+G45+G46+G47+G48+G49</f>
        <v>1035.41</v>
      </c>
    </row>
    <row r="44" spans="8:8" ht="24.35">
      <c r="A44" s="219" t="s">
        <v>82</v>
      </c>
      <c r="B44" s="210" t="s">
        <v>83</v>
      </c>
      <c r="C44" s="219">
        <v>100.0</v>
      </c>
      <c r="D44" s="211">
        <v>2.02</v>
      </c>
      <c r="E44" s="211">
        <v>10.33</v>
      </c>
      <c r="F44" s="211">
        <v>20.55</v>
      </c>
      <c r="G44" s="211">
        <v>188.33</v>
      </c>
    </row>
    <row r="45" spans="8:8" ht="73.1">
      <c r="A45" s="219" t="s">
        <v>124</v>
      </c>
      <c r="B45" s="210" t="s">
        <v>237</v>
      </c>
      <c r="C45" s="219">
        <v>250.0</v>
      </c>
      <c r="D45" s="211">
        <v>4.95</v>
      </c>
      <c r="E45" s="211">
        <v>6.08</v>
      </c>
      <c r="F45" s="211">
        <v>21.26</v>
      </c>
      <c r="G45" s="211">
        <v>164.76</v>
      </c>
    </row>
    <row r="46" spans="8:8" ht="24.35">
      <c r="A46" s="212" t="s">
        <v>241</v>
      </c>
      <c r="B46" s="210" t="s">
        <v>253</v>
      </c>
      <c r="C46" s="219">
        <v>100.0</v>
      </c>
      <c r="D46" s="211">
        <v>17.09</v>
      </c>
      <c r="E46" s="211">
        <v>10.7</v>
      </c>
      <c r="F46" s="211">
        <v>12.12</v>
      </c>
      <c r="G46" s="211">
        <v>212.83</v>
      </c>
    </row>
    <row r="47" spans="8:8">
      <c r="A47" s="212" t="s">
        <v>134</v>
      </c>
      <c r="B47" s="210" t="s">
        <v>274</v>
      </c>
      <c r="C47" s="219">
        <v>200.0</v>
      </c>
      <c r="D47" s="211">
        <v>21.68</v>
      </c>
      <c r="E47" s="211">
        <v>5.37</v>
      </c>
      <c r="F47" s="211">
        <v>45.29</v>
      </c>
      <c r="G47" s="211">
        <v>329.73</v>
      </c>
    </row>
    <row r="48" spans="8:8" ht="48.7">
      <c r="A48" s="212" t="s">
        <v>233</v>
      </c>
      <c r="B48" s="210" t="s">
        <v>231</v>
      </c>
      <c r="C48" s="209" t="s">
        <v>232</v>
      </c>
      <c r="D48" s="211">
        <v>0.68</v>
      </c>
      <c r="E48" s="211">
        <v>0.0</v>
      </c>
      <c r="F48" s="211">
        <v>24.63</v>
      </c>
      <c r="G48" s="211">
        <v>101.24</v>
      </c>
    </row>
    <row r="49" spans="8:8" ht="24.35">
      <c r="A49" s="219"/>
      <c r="B49" s="210" t="s">
        <v>37</v>
      </c>
      <c r="C49" s="219">
        <v>20.0</v>
      </c>
      <c r="D49" s="211">
        <v>1.0</v>
      </c>
      <c r="E49" s="211">
        <v>0.08</v>
      </c>
      <c r="F49" s="211">
        <v>8.0</v>
      </c>
      <c r="G49" s="211">
        <v>38.52</v>
      </c>
    </row>
    <row r="50" spans="8:8">
      <c r="A50" s="215" t="s">
        <v>217</v>
      </c>
      <c r="B50" s="215"/>
      <c r="C50" s="203">
        <v>870.0</v>
      </c>
      <c r="D50" s="211"/>
      <c r="E50" s="211"/>
      <c r="F50" s="211"/>
      <c r="G50" s="211"/>
    </row>
    <row r="51" spans="8:8">
      <c r="A51" s="204" t="s">
        <v>298</v>
      </c>
      <c r="B51" s="204"/>
      <c r="C51" s="204"/>
      <c r="D51" s="205">
        <f>D52+D58</f>
        <v>39.31</v>
      </c>
      <c r="E51" s="205">
        <f>E52+E58</f>
        <v>47.92</v>
      </c>
      <c r="F51" s="205">
        <f>F52+F58</f>
        <v>207.73</v>
      </c>
      <c r="G51" s="205">
        <f>G52+G58</f>
        <v>1440.25</v>
      </c>
    </row>
    <row r="52" spans="8:8">
      <c r="A52" s="203"/>
      <c r="B52" s="204" t="s">
        <v>66</v>
      </c>
      <c r="C52" s="204"/>
      <c r="D52" s="205">
        <f>D53+D54+D55+D56</f>
        <v>14.74</v>
      </c>
      <c r="E52" s="205">
        <f>E53+E54+E55+E56</f>
        <v>7.59</v>
      </c>
      <c r="F52" s="205">
        <f>F53+F54+F55+F56</f>
        <v>119.57</v>
      </c>
      <c r="G52" s="205">
        <f>G53+G54+G55+G56</f>
        <v>617.4399999999999</v>
      </c>
    </row>
    <row r="53" spans="8:8" ht="48.7">
      <c r="A53" s="219"/>
      <c r="B53" s="210" t="s">
        <v>283</v>
      </c>
      <c r="C53" s="219">
        <v>60.0</v>
      </c>
      <c r="D53" s="211">
        <v>3.0</v>
      </c>
      <c r="E53" s="211">
        <v>2.0</v>
      </c>
      <c r="F53" s="211">
        <v>47.0</v>
      </c>
      <c r="G53" s="211">
        <v>213.0</v>
      </c>
    </row>
    <row r="54" spans="8:8" ht="73.1">
      <c r="A54" s="219" t="s">
        <v>161</v>
      </c>
      <c r="B54" s="210" t="s">
        <v>185</v>
      </c>
      <c r="C54" s="219" t="s">
        <v>251</v>
      </c>
      <c r="D54" s="211">
        <v>9.08</v>
      </c>
      <c r="E54" s="211">
        <v>5.31</v>
      </c>
      <c r="F54" s="211">
        <v>45.35</v>
      </c>
      <c r="G54" s="211">
        <v>276.4</v>
      </c>
    </row>
    <row r="55" spans="8:8" ht="24.35">
      <c r="A55" s="209" t="s">
        <v>163</v>
      </c>
      <c r="B55" s="210" t="s">
        <v>10</v>
      </c>
      <c r="C55" s="209">
        <v>200.0</v>
      </c>
      <c r="D55" s="211">
        <v>0.0</v>
      </c>
      <c r="E55" s="211">
        <v>0.0</v>
      </c>
      <c r="F55" s="211">
        <v>10.0</v>
      </c>
      <c r="G55" s="211">
        <v>42.0</v>
      </c>
    </row>
    <row r="56" spans="8:8" ht="36.55">
      <c r="A56" s="219"/>
      <c r="B56" s="210" t="s">
        <v>11</v>
      </c>
      <c r="C56" s="219">
        <v>35.0</v>
      </c>
      <c r="D56" s="211">
        <v>2.66</v>
      </c>
      <c r="E56" s="211">
        <v>0.28</v>
      </c>
      <c r="F56" s="211">
        <v>17.22</v>
      </c>
      <c r="G56" s="211">
        <v>86.04</v>
      </c>
    </row>
    <row r="57" spans="8:8">
      <c r="A57" s="221" t="s">
        <v>217</v>
      </c>
      <c r="B57" s="222"/>
      <c r="C57" s="203">
        <v>550.0</v>
      </c>
      <c r="D57" s="211"/>
      <c r="E57" s="211"/>
      <c r="F57" s="211"/>
      <c r="G57" s="211"/>
    </row>
    <row r="58" spans="8:8">
      <c r="A58" s="219"/>
      <c r="B58" s="217" t="s">
        <v>67</v>
      </c>
      <c r="C58" s="217"/>
      <c r="D58" s="205">
        <f>D59+D60+D61+D62+D63</f>
        <v>24.57</v>
      </c>
      <c r="E58" s="205">
        <f>E59+E60+E61+E62+E63</f>
        <v>40.33</v>
      </c>
      <c r="F58" s="205">
        <f>F59+F60+F61+F62+F63</f>
        <v>88.16</v>
      </c>
      <c r="G58" s="205">
        <f>G59+G60+G61+G62+G63</f>
        <v>822.81</v>
      </c>
    </row>
    <row r="59" spans="8:8" ht="36.55">
      <c r="A59" s="212" t="s">
        <v>277</v>
      </c>
      <c r="B59" s="210" t="s">
        <v>276</v>
      </c>
      <c r="C59" s="219">
        <v>100.0</v>
      </c>
      <c r="D59" s="211">
        <v>1.33</v>
      </c>
      <c r="E59" s="211">
        <v>8.83</v>
      </c>
      <c r="F59" s="211">
        <v>9.83</v>
      </c>
      <c r="G59" s="211">
        <v>124.5</v>
      </c>
    </row>
    <row r="60" spans="8:8" ht="48.7">
      <c r="A60" s="219" t="s">
        <v>117</v>
      </c>
      <c r="B60" s="210" t="s">
        <v>198</v>
      </c>
      <c r="C60" s="219">
        <v>250.0</v>
      </c>
      <c r="D60" s="211">
        <v>5.8</v>
      </c>
      <c r="E60" s="211">
        <v>10.7</v>
      </c>
      <c r="F60" s="211">
        <v>19.7</v>
      </c>
      <c r="G60" s="211">
        <v>198.3</v>
      </c>
    </row>
    <row r="61" spans="8:8" ht="24.35">
      <c r="A61" s="212" t="s">
        <v>169</v>
      </c>
      <c r="B61" s="210" t="s">
        <v>261</v>
      </c>
      <c r="C61" s="219" t="s">
        <v>249</v>
      </c>
      <c r="D61" s="211">
        <v>12.49</v>
      </c>
      <c r="E61" s="211">
        <v>20.4</v>
      </c>
      <c r="F61" s="211">
        <v>22.0</v>
      </c>
      <c r="G61" s="211">
        <v>321.68</v>
      </c>
    </row>
    <row r="62" spans="8:8" ht="60.9">
      <c r="A62" s="219" t="s">
        <v>42</v>
      </c>
      <c r="B62" s="210" t="s">
        <v>235</v>
      </c>
      <c r="C62" s="219">
        <v>200.0</v>
      </c>
      <c r="D62" s="211">
        <v>1.15</v>
      </c>
      <c r="E62" s="211">
        <v>0.0</v>
      </c>
      <c r="F62" s="211">
        <v>12.03</v>
      </c>
      <c r="G62" s="211">
        <v>55.4</v>
      </c>
    </row>
    <row r="63" spans="8:8" ht="36.55">
      <c r="A63" s="219"/>
      <c r="B63" s="210" t="s">
        <v>11</v>
      </c>
      <c r="C63" s="219">
        <v>50.0</v>
      </c>
      <c r="D63" s="211">
        <v>3.8</v>
      </c>
      <c r="E63" s="211">
        <v>0.4</v>
      </c>
      <c r="F63" s="211">
        <v>24.6</v>
      </c>
      <c r="G63" s="211">
        <v>122.93</v>
      </c>
    </row>
    <row r="64" spans="8:8">
      <c r="A64" s="215" t="s">
        <v>217</v>
      </c>
      <c r="B64" s="215"/>
      <c r="C64" s="203">
        <v>800.0</v>
      </c>
      <c r="D64" s="211"/>
      <c r="E64" s="211"/>
      <c r="F64" s="211"/>
      <c r="G64" s="211"/>
    </row>
    <row r="65" spans="8:8">
      <c r="A65" s="204" t="s">
        <v>299</v>
      </c>
      <c r="B65" s="204"/>
      <c r="C65" s="204"/>
      <c r="D65" s="205">
        <f>D66+D73</f>
        <v>45.980000000000004</v>
      </c>
      <c r="E65" s="205">
        <f>E66+E73</f>
        <v>57.55</v>
      </c>
      <c r="F65" s="205">
        <f>F66+F73</f>
        <v>190.82</v>
      </c>
      <c r="G65" s="205">
        <f>G66+G73</f>
        <v>1490.87</v>
      </c>
    </row>
    <row r="66" spans="8:8">
      <c r="A66" s="203"/>
      <c r="B66" s="204" t="s">
        <v>66</v>
      </c>
      <c r="C66" s="204"/>
      <c r="D66" s="205">
        <f>D67+D68+D69+D70+D71</f>
        <v>20.57</v>
      </c>
      <c r="E66" s="205">
        <f>E67+E68+E69+E70+E71</f>
        <v>20.830000000000002</v>
      </c>
      <c r="F66" s="205">
        <f>F67+F68+F69+F70+F71</f>
        <v>80.33</v>
      </c>
      <c r="G66" s="205">
        <f>G67+G68+G69+G70+G71</f>
        <v>606.16</v>
      </c>
    </row>
    <row r="67" spans="8:8" ht="24.35">
      <c r="A67" s="219" t="s">
        <v>162</v>
      </c>
      <c r="B67" s="210" t="s">
        <v>35</v>
      </c>
      <c r="C67" s="219">
        <v>15.0</v>
      </c>
      <c r="D67" s="211">
        <v>3.9</v>
      </c>
      <c r="E67" s="211">
        <v>3.98</v>
      </c>
      <c r="F67" s="211">
        <v>0.53</v>
      </c>
      <c r="G67" s="211">
        <v>54.36</v>
      </c>
    </row>
    <row r="68" spans="8:8" ht="73.1">
      <c r="A68" s="219" t="s">
        <v>161</v>
      </c>
      <c r="B68" s="210" t="s">
        <v>186</v>
      </c>
      <c r="C68" s="219" t="s">
        <v>251</v>
      </c>
      <c r="D68" s="211">
        <v>10.63</v>
      </c>
      <c r="E68" s="211">
        <v>11.81</v>
      </c>
      <c r="F68" s="211">
        <v>20.16</v>
      </c>
      <c r="G68" s="211">
        <v>229.46</v>
      </c>
    </row>
    <row r="69" spans="8:8" ht="48.7">
      <c r="A69" s="212"/>
      <c r="B69" s="210" t="s">
        <v>269</v>
      </c>
      <c r="C69" s="219">
        <v>40.0</v>
      </c>
      <c r="D69" s="211">
        <v>3.0</v>
      </c>
      <c r="E69" s="211">
        <v>4.72</v>
      </c>
      <c r="F69" s="211">
        <v>29.96</v>
      </c>
      <c r="G69" s="211">
        <v>182.0</v>
      </c>
    </row>
    <row r="70" spans="8:8" ht="24.35">
      <c r="A70" s="212" t="s">
        <v>163</v>
      </c>
      <c r="B70" s="210" t="s">
        <v>10</v>
      </c>
      <c r="C70" s="219">
        <v>200.0</v>
      </c>
      <c r="D70" s="211">
        <v>0.0</v>
      </c>
      <c r="E70" s="211">
        <v>0.0</v>
      </c>
      <c r="F70" s="211">
        <v>10.0</v>
      </c>
      <c r="G70" s="211">
        <v>42.0</v>
      </c>
    </row>
    <row r="71" spans="8:8" ht="36.55">
      <c r="A71" s="219"/>
      <c r="B71" s="210" t="s">
        <v>11</v>
      </c>
      <c r="C71" s="219">
        <v>40.0</v>
      </c>
      <c r="D71" s="211">
        <v>3.04</v>
      </c>
      <c r="E71" s="211">
        <v>0.32</v>
      </c>
      <c r="F71" s="211">
        <v>19.68</v>
      </c>
      <c r="G71" s="211">
        <v>98.34</v>
      </c>
    </row>
    <row r="72" spans="8:8">
      <c r="A72" s="221" t="s">
        <v>217</v>
      </c>
      <c r="B72" s="222"/>
      <c r="C72" s="203">
        <v>550.0</v>
      </c>
      <c r="D72" s="211"/>
      <c r="E72" s="211"/>
      <c r="F72" s="211"/>
      <c r="G72" s="211"/>
    </row>
    <row r="73" spans="8:8">
      <c r="A73" s="219"/>
      <c r="B73" s="217" t="s">
        <v>67</v>
      </c>
      <c r="C73" s="217"/>
      <c r="D73" s="205">
        <f>D74+D75+D76+D77+D78+D79</f>
        <v>25.41</v>
      </c>
      <c r="E73" s="205">
        <f>E74+E75+E76+E77+E78+E79</f>
        <v>36.72</v>
      </c>
      <c r="F73" s="205">
        <f>F74+F75+F76+F77+F78+F79</f>
        <v>110.49000000000001</v>
      </c>
      <c r="G73" s="205">
        <f>G74+G75+G76+G77+G78+G79</f>
        <v>884.7099999999999</v>
      </c>
    </row>
    <row r="74" spans="8:8" ht="48.7">
      <c r="A74" s="219" t="s">
        <v>173</v>
      </c>
      <c r="B74" s="210" t="s">
        <v>136</v>
      </c>
      <c r="C74" s="223">
        <v>100.0</v>
      </c>
      <c r="D74" s="211">
        <v>1.57</v>
      </c>
      <c r="E74" s="211">
        <v>5.1</v>
      </c>
      <c r="F74" s="211">
        <v>9.43</v>
      </c>
      <c r="G74" s="211">
        <v>92.1</v>
      </c>
    </row>
    <row r="75" spans="8:8" ht="60.9">
      <c r="A75" s="219" t="s">
        <v>166</v>
      </c>
      <c r="B75" s="210" t="s">
        <v>236</v>
      </c>
      <c r="C75" s="219">
        <v>250.0</v>
      </c>
      <c r="D75" s="211">
        <v>5.71</v>
      </c>
      <c r="E75" s="211">
        <v>15.3</v>
      </c>
      <c r="F75" s="211">
        <v>23.8</v>
      </c>
      <c r="G75" s="211">
        <v>255.75</v>
      </c>
    </row>
    <row r="76" spans="8:8" ht="24.35">
      <c r="A76" s="219" t="s">
        <v>262</v>
      </c>
      <c r="B76" s="210" t="s">
        <v>263</v>
      </c>
      <c r="C76" s="219">
        <v>100.0</v>
      </c>
      <c r="D76" s="211">
        <v>12.55</v>
      </c>
      <c r="E76" s="211">
        <v>6.8</v>
      </c>
      <c r="F76" s="211">
        <v>15.53</v>
      </c>
      <c r="G76" s="211">
        <v>173.55</v>
      </c>
    </row>
    <row r="77" spans="8:8" ht="36.55">
      <c r="A77" s="219" t="s">
        <v>34</v>
      </c>
      <c r="B77" s="210" t="s">
        <v>32</v>
      </c>
      <c r="C77" s="223">
        <v>180.0</v>
      </c>
      <c r="D77" s="211">
        <v>3.91</v>
      </c>
      <c r="E77" s="211">
        <v>9.36</v>
      </c>
      <c r="F77" s="211">
        <v>26.39</v>
      </c>
      <c r="G77" s="211">
        <v>211.56</v>
      </c>
    </row>
    <row r="78" spans="8:8" ht="36.55">
      <c r="A78" s="212" t="s">
        <v>264</v>
      </c>
      <c r="B78" s="210" t="s">
        <v>265</v>
      </c>
      <c r="C78" s="219">
        <v>200.0</v>
      </c>
      <c r="D78" s="211">
        <v>0.15</v>
      </c>
      <c r="E78" s="211">
        <v>0.0</v>
      </c>
      <c r="F78" s="211">
        <v>25.5</v>
      </c>
      <c r="G78" s="211">
        <v>102.58</v>
      </c>
    </row>
    <row r="79" spans="8:8" ht="36.55">
      <c r="A79" s="219"/>
      <c r="B79" s="210" t="s">
        <v>11</v>
      </c>
      <c r="C79" s="219">
        <v>20.0</v>
      </c>
      <c r="D79" s="211">
        <v>1.52</v>
      </c>
      <c r="E79" s="211">
        <v>0.16</v>
      </c>
      <c r="F79" s="211">
        <v>9.84</v>
      </c>
      <c r="G79" s="211">
        <v>49.17</v>
      </c>
    </row>
    <row r="80" spans="8:8">
      <c r="A80" s="215" t="s">
        <v>217</v>
      </c>
      <c r="B80" s="215"/>
      <c r="C80" s="203">
        <v>850.0</v>
      </c>
      <c r="D80" s="211"/>
      <c r="E80" s="211"/>
      <c r="F80" s="211"/>
      <c r="G80" s="211"/>
    </row>
  </sheetData>
  <mergeCells count="31">
    <mergeCell ref="B6:C6"/>
    <mergeCell ref="A64:B64"/>
    <mergeCell ref="B73:C73"/>
    <mergeCell ref="C2:C3"/>
    <mergeCell ref="A14:B14"/>
    <mergeCell ref="B29:C29"/>
    <mergeCell ref="D2:F2"/>
    <mergeCell ref="G2:G3"/>
    <mergeCell ref="A1:G1"/>
    <mergeCell ref="A5:C5"/>
    <mergeCell ref="A28:B28"/>
    <mergeCell ref="A80:B80"/>
    <mergeCell ref="B43:C43"/>
    <mergeCell ref="A35:B35"/>
    <mergeCell ref="A51:C51"/>
    <mergeCell ref="B58:C58"/>
    <mergeCell ref="A50:B50"/>
    <mergeCell ref="A57:B57"/>
    <mergeCell ref="A36:C36"/>
    <mergeCell ref="A72:B72"/>
    <mergeCell ref="B23:C23"/>
    <mergeCell ref="A21:B21"/>
    <mergeCell ref="B66:C66"/>
    <mergeCell ref="A22:C22"/>
    <mergeCell ref="B2:B3"/>
    <mergeCell ref="A2:A3"/>
    <mergeCell ref="A65:C65"/>
    <mergeCell ref="B15:C15"/>
    <mergeCell ref="B37:C37"/>
    <mergeCell ref="B52:C52"/>
    <mergeCell ref="A42:B42"/>
  </mergeCells>
  <pageMargins left="0.7" right="0.7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dimension ref="A1:J81"/>
  <sheetViews>
    <sheetView tabSelected="1" workbookViewId="0">
      <selection activeCell="J8" sqref="J8"/>
    </sheetView>
  </sheetViews>
  <sheetFormatPr defaultRowHeight="16.25" defaultColWidth="10"/>
  <cols>
    <col min="1" max="1" customWidth="1" width="15.785156" style="0"/>
    <col min="2" max="2" customWidth="1" width="19.214844" style="0"/>
    <col min="3" max="3" customWidth="1" width="17.144531" style="0"/>
    <col min="4" max="4" customWidth="1" width="15.355469" style="0"/>
    <col min="5" max="5" customWidth="1" width="14.144531" style="0"/>
    <col min="6" max="6" customWidth="1" width="14.644531" style="0"/>
    <col min="7" max="7" customWidth="1" width="17.566406" style="0"/>
  </cols>
  <sheetData>
    <row r="1" spans="8:8" ht="16.9">
      <c r="A1" s="201" t="s">
        <v>300</v>
      </c>
      <c r="B1" s="201"/>
      <c r="C1" s="201"/>
      <c r="D1" s="201"/>
      <c r="E1" s="201"/>
      <c r="F1" s="201"/>
      <c r="G1" s="201"/>
    </row>
    <row r="2" spans="8:8">
      <c r="A2" s="202" t="s">
        <v>204</v>
      </c>
      <c r="B2" s="202" t="s">
        <v>205</v>
      </c>
      <c r="C2" s="202" t="s">
        <v>206</v>
      </c>
      <c r="D2" s="202" t="s">
        <v>207</v>
      </c>
      <c r="E2" s="202"/>
      <c r="F2" s="202"/>
      <c r="G2" s="202" t="s">
        <v>23</v>
      </c>
    </row>
    <row r="3" spans="8:8">
      <c r="A3" s="202"/>
      <c r="B3" s="202"/>
      <c r="C3" s="202"/>
      <c r="D3" s="203" t="s">
        <v>17</v>
      </c>
      <c r="E3" s="203" t="s">
        <v>19</v>
      </c>
      <c r="F3" s="203" t="s">
        <v>21</v>
      </c>
      <c r="G3" s="202"/>
    </row>
    <row r="4" spans="8:8">
      <c r="A4" s="203" t="s">
        <v>2</v>
      </c>
      <c r="B4" s="203" t="s">
        <v>8</v>
      </c>
      <c r="C4" s="203" t="s">
        <v>15</v>
      </c>
      <c r="D4" s="203" t="s">
        <v>18</v>
      </c>
      <c r="E4" s="203" t="s">
        <v>20</v>
      </c>
      <c r="F4" s="203" t="s">
        <v>22</v>
      </c>
      <c r="G4" s="203" t="s">
        <v>24</v>
      </c>
    </row>
    <row r="5" spans="8:8" ht="24.35">
      <c r="A5" s="204" t="s">
        <v>307</v>
      </c>
      <c r="B5" s="204"/>
      <c r="C5" s="204"/>
      <c r="D5" s="205">
        <f>D6+D13</f>
        <v>47.45</v>
      </c>
      <c r="E5" s="205">
        <f>E6+E13</f>
        <v>74.28</v>
      </c>
      <c r="F5" s="205">
        <f>F6+F13</f>
        <v>210.73000000000002</v>
      </c>
      <c r="G5" s="205">
        <f>G6+G13</f>
        <v>1733.3400000000001</v>
      </c>
    </row>
    <row r="6" spans="8:8">
      <c r="A6" s="203"/>
      <c r="B6" s="204" t="s">
        <v>66</v>
      </c>
      <c r="C6" s="204"/>
      <c r="D6" s="205">
        <f>D7+D8+D9+D10+D11</f>
        <v>17.06</v>
      </c>
      <c r="E6" s="205">
        <f>E7+E8+E9+E10+E11</f>
        <v>32.730000000000004</v>
      </c>
      <c r="F6" s="205">
        <f>F7+F8+F9+F10+F11</f>
        <v>101.69</v>
      </c>
      <c r="G6" s="205">
        <f>G7+G8+G9+G10+G11</f>
        <v>773.36</v>
      </c>
    </row>
    <row r="7" spans="8:8" ht="24.35">
      <c r="A7" s="206" t="s">
        <v>162</v>
      </c>
      <c r="B7" s="207" t="s">
        <v>35</v>
      </c>
      <c r="C7" s="206">
        <v>15.0</v>
      </c>
      <c r="D7" s="208">
        <v>3.9</v>
      </c>
      <c r="E7" s="208">
        <v>3.98</v>
      </c>
      <c r="F7" s="208">
        <v>0.53</v>
      </c>
      <c r="G7" s="208">
        <v>54.36</v>
      </c>
    </row>
    <row r="8" spans="8:8" ht="73.1">
      <c r="A8" s="219" t="s">
        <v>161</v>
      </c>
      <c r="B8" s="210" t="s">
        <v>187</v>
      </c>
      <c r="C8" s="219" t="s">
        <v>281</v>
      </c>
      <c r="D8" s="211">
        <v>9.16</v>
      </c>
      <c r="E8" s="211">
        <v>18.75</v>
      </c>
      <c r="F8" s="211">
        <v>51.16</v>
      </c>
      <c r="G8" s="211">
        <v>410.0</v>
      </c>
    </row>
    <row r="9" spans="8:8" ht="24.35">
      <c r="A9" s="212" t="s">
        <v>163</v>
      </c>
      <c r="B9" s="210" t="s">
        <v>10</v>
      </c>
      <c r="C9" s="219">
        <v>200.0</v>
      </c>
      <c r="D9" s="211">
        <v>0.0</v>
      </c>
      <c r="E9" s="211">
        <v>0.0</v>
      </c>
      <c r="F9" s="211">
        <v>10.0</v>
      </c>
      <c r="G9" s="211">
        <v>42.0</v>
      </c>
    </row>
    <row r="10" spans="8:8" ht="24.35">
      <c r="A10" s="206"/>
      <c r="B10" s="207" t="s">
        <v>255</v>
      </c>
      <c r="C10" s="206">
        <v>40.0</v>
      </c>
      <c r="D10" s="208">
        <v>3.0</v>
      </c>
      <c r="E10" s="208">
        <v>1.0</v>
      </c>
      <c r="F10" s="208">
        <v>21.0</v>
      </c>
      <c r="G10" s="208">
        <v>105.0</v>
      </c>
    </row>
    <row r="11" spans="8:8" ht="48.7">
      <c r="A11" s="206"/>
      <c r="B11" s="207" t="s">
        <v>256</v>
      </c>
      <c r="C11" s="206">
        <v>30.0</v>
      </c>
      <c r="D11" s="208">
        <v>1.0</v>
      </c>
      <c r="E11" s="208">
        <v>9.0</v>
      </c>
      <c r="F11" s="208">
        <v>19.0</v>
      </c>
      <c r="G11" s="208">
        <v>162.0</v>
      </c>
    </row>
    <row r="12" spans="8:8">
      <c r="A12" s="221" t="s">
        <v>217</v>
      </c>
      <c r="B12" s="222"/>
      <c r="C12" s="216">
        <v>550.0</v>
      </c>
      <c r="D12" s="214"/>
      <c r="E12" s="214"/>
      <c r="F12" s="214"/>
      <c r="G12" s="214"/>
    </row>
    <row r="13" spans="8:8">
      <c r="A13" s="212"/>
      <c r="B13" s="217" t="s">
        <v>67</v>
      </c>
      <c r="C13" s="217"/>
      <c r="D13" s="218">
        <f>D14+D15+D16+D17+D18+D19</f>
        <v>30.39</v>
      </c>
      <c r="E13" s="218">
        <f>E14+E15+E16+E17+E18+E19</f>
        <v>41.55</v>
      </c>
      <c r="F13" s="218">
        <f>F14+F15+F16+F17+F18+F19</f>
        <v>109.04</v>
      </c>
      <c r="G13" s="218">
        <f>G14+G15+G16+G17+G18+G19</f>
        <v>959.98</v>
      </c>
    </row>
    <row r="14" spans="8:8" ht="24.35">
      <c r="A14" s="219" t="s">
        <v>82</v>
      </c>
      <c r="B14" s="210" t="s">
        <v>83</v>
      </c>
      <c r="C14" s="219">
        <v>100.0</v>
      </c>
      <c r="D14" s="211">
        <v>2.02</v>
      </c>
      <c r="E14" s="211">
        <v>10.33</v>
      </c>
      <c r="F14" s="211">
        <v>20.55</v>
      </c>
      <c r="G14" s="211">
        <v>188.33</v>
      </c>
    </row>
    <row r="15" spans="8:8" ht="24.35">
      <c r="A15" s="219" t="s">
        <v>167</v>
      </c>
      <c r="B15" s="210" t="s">
        <v>240</v>
      </c>
      <c r="C15" s="219">
        <v>250.0</v>
      </c>
      <c r="D15" s="211">
        <v>8.14</v>
      </c>
      <c r="E15" s="211">
        <v>15.35</v>
      </c>
      <c r="F15" s="211">
        <v>13.96</v>
      </c>
      <c r="G15" s="211">
        <v>234.73</v>
      </c>
    </row>
    <row r="16" spans="8:8" ht="24.35">
      <c r="A16" s="219" t="s">
        <v>234</v>
      </c>
      <c r="B16" s="210" t="s">
        <v>252</v>
      </c>
      <c r="C16" s="219">
        <v>100.0</v>
      </c>
      <c r="D16" s="211">
        <v>11.31</v>
      </c>
      <c r="E16" s="211">
        <v>12.38</v>
      </c>
      <c r="F16" s="211">
        <v>11.3</v>
      </c>
      <c r="G16" s="211">
        <v>201.8</v>
      </c>
    </row>
    <row r="17" spans="8:8" ht="36.55">
      <c r="A17" s="219" t="s">
        <v>33</v>
      </c>
      <c r="B17" s="210" t="s">
        <v>12</v>
      </c>
      <c r="C17" s="219">
        <v>180.0</v>
      </c>
      <c r="D17" s="211">
        <v>6.77</v>
      </c>
      <c r="E17" s="211">
        <v>3.41</v>
      </c>
      <c r="F17" s="211">
        <v>43.2</v>
      </c>
      <c r="G17" s="211">
        <v>241.2</v>
      </c>
    </row>
    <row r="18" spans="8:8" ht="60.9">
      <c r="A18" s="219" t="s">
        <v>42</v>
      </c>
      <c r="B18" s="210" t="s">
        <v>235</v>
      </c>
      <c r="C18" s="219">
        <v>200.0</v>
      </c>
      <c r="D18" s="211">
        <v>1.15</v>
      </c>
      <c r="E18" s="211">
        <v>0.0</v>
      </c>
      <c r="F18" s="211">
        <v>12.03</v>
      </c>
      <c r="G18" s="211">
        <v>55.4</v>
      </c>
    </row>
    <row r="19" spans="8:8" ht="24.35">
      <c r="A19" s="219"/>
      <c r="B19" s="210" t="s">
        <v>37</v>
      </c>
      <c r="C19" s="219">
        <v>20.0</v>
      </c>
      <c r="D19" s="211">
        <v>1.0</v>
      </c>
      <c r="E19" s="211">
        <v>0.08</v>
      </c>
      <c r="F19" s="211">
        <v>8.0</v>
      </c>
      <c r="G19" s="211">
        <v>38.52</v>
      </c>
    </row>
    <row r="20" spans="8:8">
      <c r="A20" s="215" t="s">
        <v>217</v>
      </c>
      <c r="B20" s="215"/>
      <c r="C20" s="203">
        <v>850.0</v>
      </c>
      <c r="D20" s="211"/>
      <c r="E20" s="211"/>
      <c r="F20" s="211"/>
      <c r="G20" s="211"/>
    </row>
    <row r="21" spans="8:8" ht="24.35">
      <c r="A21" s="204" t="s">
        <v>296</v>
      </c>
      <c r="B21" s="204"/>
      <c r="C21" s="204"/>
      <c r="D21" s="205">
        <f>D22+D28</f>
        <v>46.22</v>
      </c>
      <c r="E21" s="205">
        <f>E22+E28</f>
        <v>69.83</v>
      </c>
      <c r="F21" s="205">
        <f>F22+F28</f>
        <v>241.32999999999998</v>
      </c>
      <c r="G21" s="205">
        <f>G22+G28</f>
        <v>1816.8200000000002</v>
      </c>
    </row>
    <row r="22" spans="8:8">
      <c r="A22" s="203"/>
      <c r="B22" s="204" t="s">
        <v>66</v>
      </c>
      <c r="C22" s="204"/>
      <c r="D22" s="205">
        <f>D23+D24+D25+D26</f>
        <v>18.83</v>
      </c>
      <c r="E22" s="205">
        <f>E23+E24+E25+E26</f>
        <v>17.18</v>
      </c>
      <c r="F22" s="205">
        <f>F23+F24+F25+F26</f>
        <v>143.69</v>
      </c>
      <c r="G22" s="205">
        <f>G23+G24+G25+G26</f>
        <v>837.19</v>
      </c>
    </row>
    <row r="23" spans="8:8" ht="73.1">
      <c r="A23" s="219" t="s">
        <v>161</v>
      </c>
      <c r="B23" s="210" t="s">
        <v>182</v>
      </c>
      <c r="C23" s="219" t="s">
        <v>248</v>
      </c>
      <c r="D23" s="211">
        <v>6.81</v>
      </c>
      <c r="E23" s="211">
        <v>10.45</v>
      </c>
      <c r="F23" s="211">
        <v>29.51</v>
      </c>
      <c r="G23" s="211">
        <v>246.6</v>
      </c>
    </row>
    <row r="24" spans="8:8" ht="36.55">
      <c r="A24" s="212" t="s">
        <v>246</v>
      </c>
      <c r="B24" s="210" t="s">
        <v>177</v>
      </c>
      <c r="C24" s="219">
        <v>100.0</v>
      </c>
      <c r="D24" s="211">
        <v>8.2</v>
      </c>
      <c r="E24" s="211">
        <v>6.33</v>
      </c>
      <c r="F24" s="211">
        <v>60.27</v>
      </c>
      <c r="G24" s="211">
        <v>344.5</v>
      </c>
    </row>
    <row r="25" spans="8:8" ht="73.1">
      <c r="A25" s="212" t="s">
        <v>40</v>
      </c>
      <c r="B25" s="210" t="s">
        <v>238</v>
      </c>
      <c r="C25" s="219">
        <v>200.0</v>
      </c>
      <c r="D25" s="211">
        <v>0.02</v>
      </c>
      <c r="E25" s="211"/>
      <c r="F25" s="211">
        <v>29.31</v>
      </c>
      <c r="G25" s="211">
        <v>123.16</v>
      </c>
    </row>
    <row r="26" spans="8:8" ht="36.55">
      <c r="A26" s="219"/>
      <c r="B26" s="210" t="s">
        <v>11</v>
      </c>
      <c r="C26" s="219">
        <v>50.0</v>
      </c>
      <c r="D26" s="211">
        <v>3.8</v>
      </c>
      <c r="E26" s="211">
        <v>0.4</v>
      </c>
      <c r="F26" s="211">
        <v>24.6</v>
      </c>
      <c r="G26" s="211">
        <v>122.93</v>
      </c>
    </row>
    <row r="27" spans="8:8">
      <c r="A27" s="221" t="s">
        <v>217</v>
      </c>
      <c r="B27" s="222"/>
      <c r="C27" s="216">
        <v>555.0</v>
      </c>
      <c r="D27" s="214"/>
      <c r="E27" s="214"/>
      <c r="F27" s="214"/>
      <c r="G27" s="214"/>
    </row>
    <row r="28" spans="8:8">
      <c r="A28" s="219"/>
      <c r="B28" s="217" t="s">
        <v>67</v>
      </c>
      <c r="C28" s="217"/>
      <c r="D28" s="218">
        <f>D29+D30+D31+D32+D33</f>
        <v>27.39</v>
      </c>
      <c r="E28" s="218">
        <f>E29+E30+E31+E32+E33</f>
        <v>52.65</v>
      </c>
      <c r="F28" s="218">
        <f>F29+F30+F31+F32+F33</f>
        <v>97.64000000000001</v>
      </c>
      <c r="G28" s="218">
        <f>G29+G30+G31+G32+G33</f>
        <v>979.6300000000001</v>
      </c>
    </row>
    <row r="29" spans="8:8" ht="48.7">
      <c r="A29" s="219" t="s">
        <v>228</v>
      </c>
      <c r="B29" s="210" t="s">
        <v>229</v>
      </c>
      <c r="C29" s="219">
        <v>100.0</v>
      </c>
      <c r="D29" s="220">
        <v>0.8</v>
      </c>
      <c r="E29" s="211">
        <v>0.0</v>
      </c>
      <c r="F29" s="211">
        <v>1.7</v>
      </c>
      <c r="G29" s="211">
        <v>10.0</v>
      </c>
    </row>
    <row r="30" spans="8:8" ht="48.7">
      <c r="A30" s="212" t="s">
        <v>101</v>
      </c>
      <c r="B30" s="210" t="s">
        <v>193</v>
      </c>
      <c r="C30" s="219">
        <v>250.0</v>
      </c>
      <c r="D30" s="211">
        <v>9.76</v>
      </c>
      <c r="E30" s="211">
        <v>14.78</v>
      </c>
      <c r="F30" s="211">
        <v>20.6</v>
      </c>
      <c r="G30" s="211">
        <v>254.43</v>
      </c>
    </row>
    <row r="31" spans="8:8" ht="36.55">
      <c r="A31" s="219" t="s">
        <v>220</v>
      </c>
      <c r="B31" s="210" t="s">
        <v>221</v>
      </c>
      <c r="C31" s="219" t="s">
        <v>249</v>
      </c>
      <c r="D31" s="211">
        <v>11.11</v>
      </c>
      <c r="E31" s="211">
        <v>37.36</v>
      </c>
      <c r="F31" s="211">
        <v>20.89</v>
      </c>
      <c r="G31" s="211">
        <v>464.18</v>
      </c>
    </row>
    <row r="32" spans="8:8" ht="24.35">
      <c r="A32" s="212" t="s">
        <v>225</v>
      </c>
      <c r="B32" s="213" t="s">
        <v>284</v>
      </c>
      <c r="C32" s="219">
        <v>200.0</v>
      </c>
      <c r="D32" s="211">
        <v>1.92</v>
      </c>
      <c r="E32" s="211">
        <v>0.11</v>
      </c>
      <c r="F32" s="211">
        <v>29.85</v>
      </c>
      <c r="G32" s="211">
        <v>128.09</v>
      </c>
    </row>
    <row r="33" spans="8:8" ht="36.55">
      <c r="A33" s="219"/>
      <c r="B33" s="210" t="s">
        <v>11</v>
      </c>
      <c r="C33" s="219">
        <v>50.0</v>
      </c>
      <c r="D33" s="211">
        <v>3.8</v>
      </c>
      <c r="E33" s="211">
        <v>0.4</v>
      </c>
      <c r="F33" s="211">
        <v>24.6</v>
      </c>
      <c r="G33" s="211">
        <v>122.93</v>
      </c>
    </row>
    <row r="34" spans="8:8">
      <c r="A34" s="215" t="s">
        <v>217</v>
      </c>
      <c r="B34" s="215"/>
      <c r="C34" s="224">
        <v>800.0</v>
      </c>
      <c r="D34" s="211"/>
      <c r="E34" s="211"/>
      <c r="F34" s="211"/>
      <c r="G34" s="211"/>
    </row>
    <row r="35" spans="8:8" ht="24.35">
      <c r="A35" s="204" t="s">
        <v>302</v>
      </c>
      <c r="B35" s="204"/>
      <c r="C35" s="204"/>
      <c r="D35" s="205">
        <f>D36+D43</f>
        <v>51.0</v>
      </c>
      <c r="E35" s="205">
        <f>E36+E43</f>
        <v>64.03</v>
      </c>
      <c r="F35" s="205">
        <f>F36+F43</f>
        <v>239.69</v>
      </c>
      <c r="G35" s="205">
        <f>G36+G43</f>
        <v>1881.1</v>
      </c>
    </row>
    <row r="36" spans="8:8">
      <c r="A36" s="203"/>
      <c r="B36" s="204" t="s">
        <v>66</v>
      </c>
      <c r="C36" s="204"/>
      <c r="D36" s="205">
        <f>D37+D38+D39+D40+D41</f>
        <v>21.15</v>
      </c>
      <c r="E36" s="205">
        <f>E37+E38+E39+E40+E41</f>
        <v>24.04</v>
      </c>
      <c r="F36" s="205">
        <f>F37+F38+F39+F40+F41</f>
        <v>128.91</v>
      </c>
      <c r="G36" s="205">
        <f>G37+G38+G39+G40+G41</f>
        <v>822.12</v>
      </c>
    </row>
    <row r="37" spans="8:8" ht="36.55">
      <c r="A37" s="219" t="s">
        <v>160</v>
      </c>
      <c r="B37" s="210" t="s">
        <v>135</v>
      </c>
      <c r="C37" s="219">
        <v>10.0</v>
      </c>
      <c r="D37" s="211">
        <v>0.1</v>
      </c>
      <c r="E37" s="211">
        <v>7.26</v>
      </c>
      <c r="F37" s="211">
        <v>0.14</v>
      </c>
      <c r="G37" s="211">
        <v>66.22</v>
      </c>
    </row>
    <row r="38" spans="8:8" ht="36.55">
      <c r="A38" s="219" t="s">
        <v>266</v>
      </c>
      <c r="B38" s="210" t="s">
        <v>267</v>
      </c>
      <c r="C38" s="219" t="s">
        <v>285</v>
      </c>
      <c r="D38" s="211">
        <v>12.69</v>
      </c>
      <c r="E38" s="211">
        <v>10.76</v>
      </c>
      <c r="F38" s="211">
        <v>60.49</v>
      </c>
      <c r="G38" s="211">
        <v>389.53</v>
      </c>
    </row>
    <row r="39" spans="8:8" ht="36.55">
      <c r="A39" s="206" t="s">
        <v>164</v>
      </c>
      <c r="B39" s="207" t="s">
        <v>51</v>
      </c>
      <c r="C39" s="206">
        <v>200.0</v>
      </c>
      <c r="D39" s="208">
        <v>1.99</v>
      </c>
      <c r="E39" s="208">
        <v>1.7</v>
      </c>
      <c r="F39" s="208">
        <v>18.6</v>
      </c>
      <c r="G39" s="208">
        <v>102.03</v>
      </c>
    </row>
    <row r="40" spans="8:8" ht="36.55">
      <c r="A40" s="219"/>
      <c r="B40" s="210" t="s">
        <v>11</v>
      </c>
      <c r="C40" s="219">
        <v>40.0</v>
      </c>
      <c r="D40" s="211">
        <v>3.04</v>
      </c>
      <c r="E40" s="211">
        <v>0.32</v>
      </c>
      <c r="F40" s="211">
        <v>19.68</v>
      </c>
      <c r="G40" s="211">
        <v>98.34</v>
      </c>
    </row>
    <row r="41" spans="8:8" ht="48.7">
      <c r="A41" s="212"/>
      <c r="B41" s="210" t="s">
        <v>269</v>
      </c>
      <c r="C41" s="219">
        <v>40.0</v>
      </c>
      <c r="D41" s="211">
        <v>3.33</v>
      </c>
      <c r="E41" s="211">
        <v>4.0</v>
      </c>
      <c r="F41" s="211">
        <v>30.0</v>
      </c>
      <c r="G41" s="211">
        <v>166.0</v>
      </c>
    </row>
    <row r="42" spans="8:8">
      <c r="A42" s="221" t="s">
        <v>217</v>
      </c>
      <c r="B42" s="222"/>
      <c r="C42" s="224">
        <v>550.0</v>
      </c>
      <c r="D42" s="211"/>
      <c r="E42" s="211"/>
      <c r="F42" s="211"/>
      <c r="G42" s="211"/>
    </row>
    <row r="43" spans="8:8">
      <c r="A43" s="209"/>
      <c r="B43" s="217" t="s">
        <v>67</v>
      </c>
      <c r="C43" s="217"/>
      <c r="D43" s="205">
        <f>D44+D45+D46+D47+D48+D49</f>
        <v>29.85</v>
      </c>
      <c r="E43" s="205">
        <f>E44+E45+E46+E47+E48+E49</f>
        <v>39.989999999999995</v>
      </c>
      <c r="F43" s="205">
        <f>F44+F45+F46+F47+F48+F49</f>
        <v>110.78</v>
      </c>
      <c r="G43" s="205">
        <f>G44+G45+G46+G47+G48+G49</f>
        <v>1058.98</v>
      </c>
    </row>
    <row r="44" spans="8:8" ht="48.7">
      <c r="A44" s="219" t="s">
        <v>173</v>
      </c>
      <c r="B44" s="210" t="s">
        <v>136</v>
      </c>
      <c r="C44" s="223">
        <v>100.0</v>
      </c>
      <c r="D44" s="211">
        <v>1.57</v>
      </c>
      <c r="E44" s="211">
        <v>5.1</v>
      </c>
      <c r="F44" s="211">
        <v>9.43</v>
      </c>
      <c r="G44" s="211">
        <v>92.1</v>
      </c>
    </row>
    <row r="45" spans="8:8" ht="24.35">
      <c r="A45" s="212" t="s">
        <v>168</v>
      </c>
      <c r="B45" s="210" t="s">
        <v>239</v>
      </c>
      <c r="C45" s="223">
        <v>250.0</v>
      </c>
      <c r="D45" s="211">
        <v>8.31</v>
      </c>
      <c r="E45" s="211">
        <v>11.15</v>
      </c>
      <c r="F45" s="211">
        <v>19.36</v>
      </c>
      <c r="G45" s="211">
        <v>211.05</v>
      </c>
    </row>
    <row r="46" spans="8:8" ht="24.35">
      <c r="A46" s="212" t="s">
        <v>219</v>
      </c>
      <c r="B46" s="210" t="s">
        <v>222</v>
      </c>
      <c r="C46" s="219">
        <v>100.0</v>
      </c>
      <c r="D46" s="211">
        <v>13.72</v>
      </c>
      <c r="E46" s="211">
        <v>20.4</v>
      </c>
      <c r="F46" s="211">
        <v>1.36</v>
      </c>
      <c r="G46" s="211">
        <v>365.87</v>
      </c>
    </row>
    <row r="47" spans="8:8" ht="24.35">
      <c r="A47" s="219" t="s">
        <v>170</v>
      </c>
      <c r="B47" s="210" t="s">
        <v>150</v>
      </c>
      <c r="C47" s="219">
        <v>180.0</v>
      </c>
      <c r="D47" s="211">
        <v>4.57</v>
      </c>
      <c r="E47" s="211">
        <v>3.26</v>
      </c>
      <c r="F47" s="211">
        <v>48.0</v>
      </c>
      <c r="G47" s="211">
        <v>250.2</v>
      </c>
    </row>
    <row r="48" spans="8:8" ht="48.7">
      <c r="A48" s="212" t="s">
        <v>233</v>
      </c>
      <c r="B48" s="210" t="s">
        <v>231</v>
      </c>
      <c r="C48" s="209" t="s">
        <v>232</v>
      </c>
      <c r="D48" s="211">
        <v>0.68</v>
      </c>
      <c r="E48" s="211">
        <v>0.0</v>
      </c>
      <c r="F48" s="211">
        <v>24.63</v>
      </c>
      <c r="G48" s="211">
        <v>101.24</v>
      </c>
    </row>
    <row r="49" spans="8:8" ht="24.35">
      <c r="A49" s="219"/>
      <c r="B49" s="210" t="s">
        <v>37</v>
      </c>
      <c r="C49" s="219">
        <v>20.0</v>
      </c>
      <c r="D49" s="211">
        <v>1.0</v>
      </c>
      <c r="E49" s="211">
        <v>0.08</v>
      </c>
      <c r="F49" s="211">
        <v>8.0</v>
      </c>
      <c r="G49" s="211">
        <v>38.52</v>
      </c>
    </row>
    <row r="50" spans="8:8">
      <c r="A50" s="215" t="s">
        <v>217</v>
      </c>
      <c r="B50" s="215"/>
      <c r="C50" s="203">
        <v>850.0</v>
      </c>
      <c r="D50" s="211"/>
      <c r="E50" s="211"/>
      <c r="F50" s="211"/>
      <c r="G50" s="211"/>
    </row>
    <row r="51" spans="8:8" ht="24.35">
      <c r="A51" s="204" t="s">
        <v>303</v>
      </c>
      <c r="B51" s="204"/>
      <c r="C51" s="204"/>
      <c r="D51" s="205">
        <f>D52+D59</f>
        <v>42.769999999999996</v>
      </c>
      <c r="E51" s="205">
        <f>E52+E59</f>
        <v>56.62</v>
      </c>
      <c r="F51" s="205">
        <f>F52+F59</f>
        <v>197.37</v>
      </c>
      <c r="G51" s="205">
        <f>G52+G59</f>
        <v>1500.78</v>
      </c>
    </row>
    <row r="52" spans="8:8">
      <c r="A52" s="203"/>
      <c r="B52" s="204" t="s">
        <v>66</v>
      </c>
      <c r="C52" s="204"/>
      <c r="D52" s="205">
        <f>D53+D54+D55+D56+D57</f>
        <v>16.66</v>
      </c>
      <c r="E52" s="205">
        <f>E53+E54+E55+E56+E57</f>
        <v>18.07</v>
      </c>
      <c r="F52" s="205">
        <f>F53+F54+F55+F56+F57</f>
        <v>106.53999999999999</v>
      </c>
      <c r="G52" s="205">
        <f>G53+G54+G55+G56+G57</f>
        <v>681.06</v>
      </c>
    </row>
    <row r="53" spans="8:8" ht="36.55">
      <c r="A53" s="219" t="s">
        <v>160</v>
      </c>
      <c r="B53" s="210" t="s">
        <v>135</v>
      </c>
      <c r="C53" s="219">
        <v>10.0</v>
      </c>
      <c r="D53" s="211">
        <v>0.1</v>
      </c>
      <c r="E53" s="211">
        <v>7.26</v>
      </c>
      <c r="F53" s="211">
        <v>0.14</v>
      </c>
      <c r="G53" s="211">
        <v>66.22</v>
      </c>
    </row>
    <row r="54" spans="8:8" ht="73.1">
      <c r="A54" s="219" t="s">
        <v>161</v>
      </c>
      <c r="B54" s="210" t="s">
        <v>184</v>
      </c>
      <c r="C54" s="219" t="s">
        <v>251</v>
      </c>
      <c r="D54" s="211">
        <v>9.76</v>
      </c>
      <c r="E54" s="211">
        <v>5.69</v>
      </c>
      <c r="F54" s="211">
        <v>41.84</v>
      </c>
      <c r="G54" s="211">
        <v>267.91</v>
      </c>
    </row>
    <row r="55" spans="8:8">
      <c r="A55" s="212"/>
      <c r="B55" s="210" t="s">
        <v>62</v>
      </c>
      <c r="C55" s="219">
        <v>40.0</v>
      </c>
      <c r="D55" s="211">
        <v>3.0</v>
      </c>
      <c r="E55" s="211">
        <v>4.72</v>
      </c>
      <c r="F55" s="211">
        <v>29.96</v>
      </c>
      <c r="G55" s="211">
        <v>182.0</v>
      </c>
    </row>
    <row r="56" spans="8:8" ht="24.35">
      <c r="A56" s="212" t="s">
        <v>163</v>
      </c>
      <c r="B56" s="210" t="s">
        <v>10</v>
      </c>
      <c r="C56" s="219">
        <v>200.0</v>
      </c>
      <c r="D56" s="211">
        <v>0.0</v>
      </c>
      <c r="E56" s="211">
        <v>0.0</v>
      </c>
      <c r="F56" s="211">
        <v>10.0</v>
      </c>
      <c r="G56" s="211">
        <v>42.0</v>
      </c>
    </row>
    <row r="57" spans="8:8" ht="36.55">
      <c r="A57" s="219"/>
      <c r="B57" s="210" t="s">
        <v>11</v>
      </c>
      <c r="C57" s="219">
        <v>50.0</v>
      </c>
      <c r="D57" s="211">
        <v>3.8</v>
      </c>
      <c r="E57" s="211">
        <v>0.4</v>
      </c>
      <c r="F57" s="211">
        <v>24.6</v>
      </c>
      <c r="G57" s="211">
        <v>122.93</v>
      </c>
    </row>
    <row r="58" spans="8:8">
      <c r="A58" s="221" t="s">
        <v>217</v>
      </c>
      <c r="B58" s="222"/>
      <c r="C58" s="203">
        <v>555.0</v>
      </c>
      <c r="D58" s="211"/>
      <c r="E58" s="211"/>
      <c r="F58" s="211"/>
      <c r="G58" s="211"/>
    </row>
    <row r="59" spans="8:8">
      <c r="A59" s="219"/>
      <c r="B59" s="217" t="s">
        <v>67</v>
      </c>
      <c r="C59" s="217"/>
      <c r="D59" s="205">
        <f>D60+D61+D62+D63+D64+D65</f>
        <v>26.11</v>
      </c>
      <c r="E59" s="205">
        <f>E60+E61+E62+E63+E64+E65</f>
        <v>38.55</v>
      </c>
      <c r="F59" s="205">
        <f>F60+F61+F62+F63+F64+F65</f>
        <v>90.83</v>
      </c>
      <c r="G59" s="205">
        <f>G60+G61+G62+G63+G64+G65</f>
        <v>819.7199999999999</v>
      </c>
    </row>
    <row r="60" spans="8:8" ht="24.35">
      <c r="A60" s="219" t="s">
        <v>171</v>
      </c>
      <c r="B60" s="210" t="s">
        <v>145</v>
      </c>
      <c r="C60" s="219">
        <v>100.0</v>
      </c>
      <c r="D60" s="211">
        <v>2.47</v>
      </c>
      <c r="E60" s="211">
        <v>9.18</v>
      </c>
      <c r="F60" s="211">
        <v>10.4</v>
      </c>
      <c r="G60" s="211">
        <v>134.1</v>
      </c>
    </row>
    <row r="61" spans="8:8" ht="36.55">
      <c r="A61" s="219" t="s">
        <v>245</v>
      </c>
      <c r="B61" s="210" t="s">
        <v>244</v>
      </c>
      <c r="C61" s="219">
        <v>250.0</v>
      </c>
      <c r="D61" s="211">
        <v>3.29</v>
      </c>
      <c r="E61" s="211">
        <v>6.88</v>
      </c>
      <c r="F61" s="211">
        <v>17.93</v>
      </c>
      <c r="G61" s="211">
        <v>146.8</v>
      </c>
    </row>
    <row r="62" spans="8:8" ht="24.35">
      <c r="A62" s="219" t="s">
        <v>131</v>
      </c>
      <c r="B62" s="210" t="s">
        <v>141</v>
      </c>
      <c r="C62" s="219">
        <v>100.0</v>
      </c>
      <c r="D62" s="211">
        <v>12.12</v>
      </c>
      <c r="E62" s="211">
        <v>16.33</v>
      </c>
      <c r="F62" s="211">
        <v>15.67</v>
      </c>
      <c r="G62" s="211">
        <v>258.15</v>
      </c>
    </row>
    <row r="63" spans="8:8" ht="36.55">
      <c r="A63" s="212" t="s">
        <v>224</v>
      </c>
      <c r="B63" s="210" t="s">
        <v>223</v>
      </c>
      <c r="C63" s="219">
        <v>180.0</v>
      </c>
      <c r="D63" s="211">
        <v>5.56</v>
      </c>
      <c r="E63" s="211">
        <v>6.0</v>
      </c>
      <c r="F63" s="211">
        <v>24.96</v>
      </c>
      <c r="G63" s="211">
        <v>176.1</v>
      </c>
    </row>
    <row r="64" spans="8:8" ht="60.9">
      <c r="A64" s="219" t="s">
        <v>42</v>
      </c>
      <c r="B64" s="210" t="s">
        <v>235</v>
      </c>
      <c r="C64" s="219">
        <v>200.0</v>
      </c>
      <c r="D64" s="211">
        <v>1.15</v>
      </c>
      <c r="E64" s="211">
        <v>0.0</v>
      </c>
      <c r="F64" s="211">
        <v>12.03</v>
      </c>
      <c r="G64" s="211">
        <v>55.4</v>
      </c>
    </row>
    <row r="65" spans="8:8" ht="36.55">
      <c r="A65" s="219"/>
      <c r="B65" s="210" t="s">
        <v>11</v>
      </c>
      <c r="C65" s="219">
        <v>20.0</v>
      </c>
      <c r="D65" s="211">
        <v>1.52</v>
      </c>
      <c r="E65" s="211">
        <v>0.16</v>
      </c>
      <c r="F65" s="211">
        <v>9.84</v>
      </c>
      <c r="G65" s="211">
        <v>49.17</v>
      </c>
    </row>
    <row r="66" spans="8:8">
      <c r="A66" s="215" t="s">
        <v>217</v>
      </c>
      <c r="B66" s="215"/>
      <c r="C66" s="203">
        <v>850.0</v>
      </c>
      <c r="D66" s="211"/>
      <c r="E66" s="211"/>
      <c r="F66" s="211"/>
      <c r="G66" s="211"/>
    </row>
    <row r="67" spans="8:8" ht="24.35">
      <c r="A67" s="204" t="s">
        <v>304</v>
      </c>
      <c r="B67" s="204"/>
      <c r="C67" s="204"/>
      <c r="D67" s="205">
        <f>D68+D74</f>
        <v>44.63</v>
      </c>
      <c r="E67" s="205">
        <f>E68+E74</f>
        <v>46.47</v>
      </c>
      <c r="F67" s="205">
        <f>F68+F74</f>
        <v>210.48000000000002</v>
      </c>
      <c r="G67" s="205">
        <f>G68+G74</f>
        <v>1456.38</v>
      </c>
    </row>
    <row r="68" spans="8:8">
      <c r="A68" s="203"/>
      <c r="B68" s="204" t="s">
        <v>66</v>
      </c>
      <c r="C68" s="204"/>
      <c r="D68" s="205">
        <f>D69+D70+D71+D72</f>
        <v>26.119999999999997</v>
      </c>
      <c r="E68" s="205">
        <f>E69+E70+E71+E72</f>
        <v>9.620000000000001</v>
      </c>
      <c r="F68" s="205">
        <f>F69+F70+F71+F72</f>
        <v>108.18</v>
      </c>
      <c r="G68" s="205">
        <f>G69+G70+G71+G72</f>
        <v>633.1</v>
      </c>
    </row>
    <row r="69" spans="8:8">
      <c r="A69" s="212"/>
      <c r="B69" s="210" t="s">
        <v>259</v>
      </c>
      <c r="C69" s="219" t="s">
        <v>287</v>
      </c>
      <c r="D69" s="211">
        <v>0.4</v>
      </c>
      <c r="E69" s="211">
        <v>0.4</v>
      </c>
      <c r="F69" s="211">
        <v>9.8</v>
      </c>
      <c r="G69" s="211">
        <v>47.0</v>
      </c>
    </row>
    <row r="70" spans="8:8" ht="60.9">
      <c r="A70" s="225" t="s">
        <v>270</v>
      </c>
      <c r="B70" s="226" t="s">
        <v>271</v>
      </c>
      <c r="C70" s="225" t="s">
        <v>268</v>
      </c>
      <c r="D70" s="227">
        <v>22.68</v>
      </c>
      <c r="E70" s="227">
        <v>8.9</v>
      </c>
      <c r="F70" s="227">
        <v>68.7</v>
      </c>
      <c r="G70" s="227">
        <v>445.76</v>
      </c>
    </row>
    <row r="71" spans="8:8" ht="24.35">
      <c r="A71" s="212" t="s">
        <v>163</v>
      </c>
      <c r="B71" s="210" t="s">
        <v>10</v>
      </c>
      <c r="C71" s="209">
        <v>200.0</v>
      </c>
      <c r="D71" s="211">
        <v>0.0</v>
      </c>
      <c r="E71" s="211">
        <v>0.0</v>
      </c>
      <c r="F71" s="211">
        <v>10.0</v>
      </c>
      <c r="G71" s="211">
        <v>42.0</v>
      </c>
    </row>
    <row r="72" spans="8:8" ht="36.55">
      <c r="A72" s="212"/>
      <c r="B72" s="210" t="s">
        <v>11</v>
      </c>
      <c r="C72" s="219">
        <v>40.0</v>
      </c>
      <c r="D72" s="211">
        <v>3.04</v>
      </c>
      <c r="E72" s="211">
        <v>0.32</v>
      </c>
      <c r="F72" s="211">
        <v>19.68</v>
      </c>
      <c r="G72" s="211">
        <v>98.34</v>
      </c>
    </row>
    <row r="73" spans="8:8">
      <c r="A73" s="221" t="s">
        <v>217</v>
      </c>
      <c r="B73" s="222"/>
      <c r="C73" s="224">
        <v>580.0</v>
      </c>
      <c r="D73" s="219"/>
      <c r="E73" s="219"/>
      <c r="F73" s="219"/>
      <c r="G73" s="219"/>
    </row>
    <row r="74" spans="8:8">
      <c r="A74" s="219"/>
      <c r="B74" s="217" t="s">
        <v>67</v>
      </c>
      <c r="C74" s="217"/>
      <c r="D74" s="205">
        <f>D75+D76+D77+D78+D79+D80</f>
        <v>18.509999999999998</v>
      </c>
      <c r="E74" s="205">
        <f>E75+E76+E77+E78+E79+E80</f>
        <v>36.849999999999994</v>
      </c>
      <c r="F74" s="205">
        <f>F75+F76+F77+F78+F79+F80</f>
        <v>102.3</v>
      </c>
      <c r="G74" s="205">
        <f>G75+G76+G77+G78+G79+G80</f>
        <v>823.28</v>
      </c>
    </row>
    <row r="75" spans="8:8" ht="48.7">
      <c r="A75" s="219" t="s">
        <v>228</v>
      </c>
      <c r="B75" s="210" t="s">
        <v>229</v>
      </c>
      <c r="C75" s="219">
        <v>100.0</v>
      </c>
      <c r="D75" s="220">
        <v>0.8</v>
      </c>
      <c r="E75" s="211">
        <v>0.0</v>
      </c>
      <c r="F75" s="211">
        <v>1.7</v>
      </c>
      <c r="G75" s="211">
        <v>10.0</v>
      </c>
    </row>
    <row r="76" spans="8:8" ht="60.9">
      <c r="A76" s="219" t="s">
        <v>242</v>
      </c>
      <c r="B76" s="210" t="s">
        <v>243</v>
      </c>
      <c r="C76" s="219">
        <v>250.0</v>
      </c>
      <c r="D76" s="211">
        <v>4.05</v>
      </c>
      <c r="E76" s="211">
        <v>15.45</v>
      </c>
      <c r="F76" s="211">
        <v>13.6</v>
      </c>
      <c r="G76" s="211">
        <v>209.65</v>
      </c>
    </row>
    <row r="77" spans="8:8" ht="36.55">
      <c r="A77" s="212" t="s">
        <v>278</v>
      </c>
      <c r="B77" s="210" t="s">
        <v>279</v>
      </c>
      <c r="C77" s="219" t="s">
        <v>280</v>
      </c>
      <c r="D77" s="211">
        <v>8.08</v>
      </c>
      <c r="E77" s="211">
        <v>11.88</v>
      </c>
      <c r="F77" s="211">
        <v>25.27</v>
      </c>
      <c r="G77" s="211">
        <v>240.32</v>
      </c>
    </row>
    <row r="78" spans="8:8" ht="36.55">
      <c r="A78" s="219" t="s">
        <v>34</v>
      </c>
      <c r="B78" s="210" t="s">
        <v>32</v>
      </c>
      <c r="C78" s="223">
        <v>180.0</v>
      </c>
      <c r="D78" s="211">
        <v>3.91</v>
      </c>
      <c r="E78" s="211">
        <v>9.36</v>
      </c>
      <c r="F78" s="211">
        <v>26.39</v>
      </c>
      <c r="G78" s="211">
        <v>211.56</v>
      </c>
    </row>
    <row r="79" spans="8:8" ht="48.7">
      <c r="A79" s="212" t="s">
        <v>264</v>
      </c>
      <c r="B79" s="210" t="s">
        <v>282</v>
      </c>
      <c r="C79" s="219">
        <v>200.0</v>
      </c>
      <c r="D79" s="211">
        <v>0.15</v>
      </c>
      <c r="E79" s="211">
        <v>0.0</v>
      </c>
      <c r="F79" s="211">
        <v>25.5</v>
      </c>
      <c r="G79" s="211">
        <v>102.58</v>
      </c>
    </row>
    <row r="80" spans="8:8" ht="36.55">
      <c r="A80" s="212"/>
      <c r="B80" s="210" t="s">
        <v>11</v>
      </c>
      <c r="C80" s="219">
        <v>20.0</v>
      </c>
      <c r="D80" s="211">
        <v>1.52</v>
      </c>
      <c r="E80" s="211">
        <v>0.16</v>
      </c>
      <c r="F80" s="211">
        <v>9.84</v>
      </c>
      <c r="G80" s="211">
        <v>49.17</v>
      </c>
    </row>
    <row r="81" spans="8:8">
      <c r="A81" s="215" t="s">
        <v>217</v>
      </c>
      <c r="B81" s="215"/>
      <c r="C81" s="203">
        <v>900.0</v>
      </c>
      <c r="D81" s="211"/>
      <c r="E81" s="211"/>
      <c r="F81" s="211"/>
      <c r="G81" s="211"/>
    </row>
  </sheetData>
  <mergeCells count="31">
    <mergeCell ref="A20:B20"/>
    <mergeCell ref="A67:C67"/>
    <mergeCell ref="A73:B73"/>
    <mergeCell ref="A12:B12"/>
    <mergeCell ref="B13:C13"/>
    <mergeCell ref="B43:C43"/>
    <mergeCell ref="G2:G3"/>
    <mergeCell ref="D2:F2"/>
    <mergeCell ref="A1:G1"/>
    <mergeCell ref="B74:C74"/>
    <mergeCell ref="A34:B34"/>
    <mergeCell ref="B22:C22"/>
    <mergeCell ref="A27:B27"/>
    <mergeCell ref="B52:C52"/>
    <mergeCell ref="A66:B66"/>
    <mergeCell ref="A21:C21"/>
    <mergeCell ref="C2:C3"/>
    <mergeCell ref="A2:A3"/>
    <mergeCell ref="B2:B3"/>
    <mergeCell ref="B68:C68"/>
    <mergeCell ref="B28:C28"/>
    <mergeCell ref="A42:B42"/>
    <mergeCell ref="B6:C6"/>
    <mergeCell ref="A5:C5"/>
    <mergeCell ref="B59:C59"/>
    <mergeCell ref="A35:C35"/>
    <mergeCell ref="A51:C51"/>
    <mergeCell ref="A50:B50"/>
    <mergeCell ref="A58:B58"/>
    <mergeCell ref="B36:C36"/>
    <mergeCell ref="A81:B8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Овсянникова Оксана</dc:creator>
  <cp:lastModifiedBy>user</cp:lastModifiedBy>
  <dcterms:created xsi:type="dcterms:W3CDTF">2018-10-03T14:32:37Z</dcterms:created>
  <dcterms:modified xsi:type="dcterms:W3CDTF">2025-08-27T07:14:46Z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582789be2abd4f28b43734937a9a91c9</vt:lpwstr>
  </property>
</Properties>
</file>